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E115663-669D-4F12-A918-8C9AC0ACC6C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план 2026" sheetId="1" r:id="rId1"/>
    <sheet name="расшифровка ст.1" sheetId="3" r:id="rId2"/>
    <sheet name="расшифровка ст.2" sheetId="2" r:id="rId3"/>
    <sheet name="бюджет доходов 2025" sheetId="4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4" l="1"/>
  <c r="Q13" i="4"/>
  <c r="E4" i="1"/>
  <c r="J19" i="4" l="1"/>
  <c r="J24" i="4" s="1"/>
  <c r="J35" i="1" l="1"/>
  <c r="H45" i="1" l="1"/>
  <c r="D45" i="1" l="1"/>
  <c r="E10" i="2" l="1"/>
  <c r="E15" i="2" s="1"/>
  <c r="E13" i="3"/>
  <c r="G6" i="3" s="1"/>
  <c r="J47" i="1"/>
  <c r="I47" i="1"/>
  <c r="C8" i="3"/>
  <c r="O13" i="4"/>
  <c r="H11" i="1" l="1"/>
  <c r="H10" i="1"/>
  <c r="H6" i="1"/>
  <c r="G7" i="3"/>
  <c r="G8" i="3" s="1"/>
  <c r="G9" i="3" s="1"/>
  <c r="C7" i="3" l="1"/>
  <c r="I5" i="3"/>
  <c r="D10" i="2"/>
  <c r="F10" i="2"/>
  <c r="J5" i="2"/>
  <c r="J6" i="2"/>
  <c r="J7" i="2"/>
  <c r="J8" i="2"/>
  <c r="J9" i="2"/>
  <c r="J4" i="2"/>
  <c r="I5" i="2"/>
  <c r="I6" i="2"/>
  <c r="I7" i="2"/>
  <c r="I8" i="2"/>
  <c r="I9" i="2"/>
  <c r="I4" i="2"/>
  <c r="G5" i="2"/>
  <c r="G6" i="2"/>
  <c r="G7" i="2"/>
  <c r="G8" i="2"/>
  <c r="G9" i="2"/>
  <c r="G4" i="2"/>
  <c r="H5" i="2"/>
  <c r="H6" i="2"/>
  <c r="H7" i="2"/>
  <c r="H8" i="2"/>
  <c r="H9" i="2"/>
  <c r="H4" i="2"/>
  <c r="D44" i="1"/>
  <c r="D39" i="1"/>
  <c r="D32" i="1"/>
  <c r="D26" i="1"/>
  <c r="D19" i="1"/>
  <c r="D7" i="1"/>
  <c r="D5" i="1"/>
  <c r="D4" i="1" l="1"/>
  <c r="H10" i="2"/>
  <c r="J10" i="2"/>
  <c r="E11" i="2"/>
  <c r="E13" i="2" s="1"/>
  <c r="I21" i="4" l="1"/>
  <c r="L13" i="4" l="1"/>
  <c r="I19" i="4"/>
  <c r="I24" i="4" s="1"/>
  <c r="K24" i="4" s="1"/>
  <c r="H24" i="4"/>
  <c r="G24" i="4"/>
  <c r="F24" i="4"/>
  <c r="E24" i="4"/>
  <c r="D24" i="4"/>
  <c r="B24" i="4"/>
  <c r="C20" i="4"/>
  <c r="C24" i="4" s="1"/>
  <c r="I13" i="4"/>
  <c r="F13" i="4"/>
  <c r="C13" i="4"/>
  <c r="E13" i="4" s="1"/>
  <c r="E14" i="4" s="1"/>
  <c r="H13" i="4" l="1"/>
  <c r="K13" i="4" s="1"/>
  <c r="N13" i="4" l="1"/>
  <c r="K14" i="4"/>
  <c r="H14" i="4"/>
  <c r="N14" i="4" l="1"/>
  <c r="H32" i="1"/>
  <c r="J32" i="1" s="1"/>
  <c r="I32" i="1" l="1"/>
  <c r="D59" i="1" l="1"/>
  <c r="H39" i="1" l="1"/>
  <c r="H26" i="1"/>
  <c r="H19" i="1"/>
  <c r="J18" i="1"/>
  <c r="H51" i="1" l="1"/>
  <c r="C6" i="3"/>
  <c r="E5" i="3"/>
  <c r="K5" i="3" l="1"/>
  <c r="K8" i="3" l="1"/>
  <c r="K9" i="3"/>
  <c r="C10" i="2" l="1"/>
  <c r="G10" i="2" l="1"/>
  <c r="I10" i="2"/>
  <c r="C11" i="2"/>
  <c r="C13" i="2" s="1"/>
  <c r="G13" i="2" s="1"/>
  <c r="I13" i="2" l="1"/>
  <c r="J13" i="1"/>
  <c r="G47" i="1" l="1"/>
  <c r="F47" i="1"/>
  <c r="I46" i="1"/>
  <c r="F46" i="1"/>
  <c r="J45" i="1"/>
  <c r="G45" i="1"/>
  <c r="F45" i="1"/>
  <c r="J44" i="1"/>
  <c r="I44" i="1"/>
  <c r="G44" i="1"/>
  <c r="F44" i="1"/>
  <c r="J43" i="1"/>
  <c r="I43" i="1"/>
  <c r="G43" i="1"/>
  <c r="F43" i="1"/>
  <c r="J42" i="1"/>
  <c r="I42" i="1"/>
  <c r="G42" i="1"/>
  <c r="F42" i="1"/>
  <c r="J41" i="1"/>
  <c r="I41" i="1"/>
  <c r="G41" i="1"/>
  <c r="F41" i="1"/>
  <c r="J40" i="1"/>
  <c r="I40" i="1"/>
  <c r="G40" i="1"/>
  <c r="F40" i="1"/>
  <c r="J39" i="1"/>
  <c r="G39" i="1"/>
  <c r="F39" i="1"/>
  <c r="J38" i="1"/>
  <c r="I38" i="1"/>
  <c r="G38" i="1"/>
  <c r="F38" i="1"/>
  <c r="J37" i="1"/>
  <c r="I37" i="1"/>
  <c r="G37" i="1"/>
  <c r="F37" i="1"/>
  <c r="J36" i="1"/>
  <c r="I36" i="1"/>
  <c r="G36" i="1"/>
  <c r="F36" i="1"/>
  <c r="J34" i="1"/>
  <c r="I34" i="1"/>
  <c r="G34" i="1"/>
  <c r="F34" i="1"/>
  <c r="J33" i="1"/>
  <c r="I33" i="1"/>
  <c r="G33" i="1"/>
  <c r="F33" i="1"/>
  <c r="G32" i="1"/>
  <c r="F32" i="1"/>
  <c r="J31" i="1"/>
  <c r="I31" i="1"/>
  <c r="G31" i="1"/>
  <c r="F31" i="1"/>
  <c r="I30" i="1"/>
  <c r="F30" i="1"/>
  <c r="I29" i="1"/>
  <c r="F29" i="1"/>
  <c r="I28" i="1"/>
  <c r="F28" i="1"/>
  <c r="I27" i="1"/>
  <c r="F27" i="1"/>
  <c r="I26" i="1"/>
  <c r="F26" i="1"/>
  <c r="J25" i="1"/>
  <c r="I25" i="1"/>
  <c r="G25" i="1"/>
  <c r="F25" i="1"/>
  <c r="J24" i="1"/>
  <c r="I24" i="1"/>
  <c r="F24" i="1"/>
  <c r="I22" i="1"/>
  <c r="J21" i="1"/>
  <c r="I21" i="1"/>
  <c r="G21" i="1"/>
  <c r="F21" i="1"/>
  <c r="J20" i="1"/>
  <c r="I20" i="1"/>
  <c r="G20" i="1"/>
  <c r="F20" i="1"/>
  <c r="G19" i="1"/>
  <c r="F19" i="1"/>
  <c r="I18" i="1"/>
  <c r="G18" i="1"/>
  <c r="F18" i="1"/>
  <c r="J17" i="1"/>
  <c r="I17" i="1"/>
  <c r="G17" i="1"/>
  <c r="F17" i="1"/>
  <c r="I16" i="1"/>
  <c r="F16" i="1"/>
  <c r="I15" i="1"/>
  <c r="F15" i="1"/>
  <c r="J14" i="1"/>
  <c r="I14" i="1"/>
  <c r="G14" i="1"/>
  <c r="F14" i="1"/>
  <c r="I13" i="1"/>
  <c r="G13" i="1"/>
  <c r="F13" i="1"/>
  <c r="J12" i="1"/>
  <c r="I12" i="1"/>
  <c r="G12" i="1"/>
  <c r="F12" i="1"/>
  <c r="J11" i="1"/>
  <c r="I11" i="1"/>
  <c r="G11" i="1"/>
  <c r="F11" i="1"/>
  <c r="J10" i="1"/>
  <c r="I10" i="1"/>
  <c r="G10" i="1"/>
  <c r="F10" i="1"/>
  <c r="I9" i="1"/>
  <c r="I8" i="1"/>
  <c r="F8" i="1"/>
  <c r="G7" i="1"/>
  <c r="F7" i="1"/>
  <c r="I6" i="1"/>
  <c r="G6" i="1"/>
  <c r="F6" i="1"/>
  <c r="G5" i="1"/>
  <c r="F5" i="1"/>
  <c r="I39" i="1" l="1"/>
  <c r="J22" i="1"/>
  <c r="G4" i="1"/>
  <c r="J6" i="1"/>
  <c r="I45" i="1"/>
  <c r="F4" i="1"/>
  <c r="H7" i="1"/>
  <c r="H5" i="1" s="1"/>
  <c r="H4" i="1" s="1"/>
  <c r="H49" i="1" s="1"/>
  <c r="J19" i="1" l="1"/>
  <c r="I19" i="1"/>
  <c r="J7" i="1"/>
  <c r="I7" i="1"/>
  <c r="J5" i="1" l="1"/>
  <c r="I5" i="1"/>
  <c r="J4" i="1" l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8" authorId="0" shapeId="0" xr:uid="{555D82EA-DD98-4E8A-A2C4-5CAC8FF197A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премия по итогам года</t>
        </r>
      </text>
    </comment>
    <comment ref="E46" authorId="0" shapeId="0" xr:uid="{0DDC2403-9FA7-458E-AD81-657A07E6789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нотариус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4" authorId="0" shapeId="0" xr:uid="{206600AE-6D3D-4C44-BCD0-6D295C660123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свод начислений, графа Оплачено всего</t>
        </r>
      </text>
    </comment>
    <comment ref="I19" authorId="0" shapeId="0" xr:uid="{88427C4F-58AE-442E-8536-97649043832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статья содержит ежемесячные членские взносы, взносы в резервный фонд, %% полученные по депозитам и прочее</t>
        </r>
      </text>
    </comment>
    <comment ref="J19" authorId="0" shapeId="0" xr:uid="{120D1FD7-370D-4898-AD11-45CAD291E04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конеч.сальдо 51+50</t>
        </r>
      </text>
    </comment>
    <comment ref="C20" authorId="0" shapeId="0" xr:uid="{3D0F448A-479D-4BAF-A127-8C58C46AC97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прибавить задолженность за виновным лицом по хищению баков</t>
        </r>
      </text>
    </comment>
    <comment ref="J20" authorId="0" shapeId="0" xr:uid="{CCB26E39-A3E8-4C1A-B718-8B8240F2EDD5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конеч.сальдо 76+62
</t>
        </r>
      </text>
    </comment>
    <comment ref="J21" authorId="0" shapeId="0" xr:uid="{7026348A-28B8-4218-AE56-EC54CA4541E9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конеч.сальдо 60</t>
        </r>
      </text>
    </comment>
    <comment ref="J22" authorId="0" shapeId="0" xr:uid="{FF3679B5-D529-4ED0-BFC7-22954A5C966B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конеч.сальдо 55</t>
        </r>
      </text>
    </comment>
    <comment ref="J23" authorId="0" shapeId="0" xr:uid="{A3C6107F-8DB2-4209-8042-2631BC04BCE1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остаток запасы
</t>
        </r>
      </text>
    </comment>
  </commentList>
</comments>
</file>

<file path=xl/sharedStrings.xml><?xml version="1.0" encoding="utf-8"?>
<sst xmlns="http://schemas.openxmlformats.org/spreadsheetml/2006/main" count="180" uniqueCount="144">
  <si>
    <t>РАСХОДЫ</t>
  </si>
  <si>
    <t>отклонение</t>
  </si>
  <si>
    <t xml:space="preserve">изменения в бюджете план </t>
  </si>
  <si>
    <t>Комментарии</t>
  </si>
  <si>
    <t>План</t>
  </si>
  <si>
    <t>Факт</t>
  </si>
  <si>
    <t>план-факт</t>
  </si>
  <si>
    <t>% от плана</t>
  </si>
  <si>
    <t>план</t>
  </si>
  <si>
    <t>абсолют.</t>
  </si>
  <si>
    <t>относит.</t>
  </si>
  <si>
    <t>1. Содержание и текущий ремонт общего имущества и мест общего пользования</t>
  </si>
  <si>
    <t xml:space="preserve">Общий ФОТ (с учетом налогов) </t>
  </si>
  <si>
    <t>-</t>
  </si>
  <si>
    <t>Фонд оплаты труда (штатное расписание)</t>
  </si>
  <si>
    <t>Начисления (налоги) на ФОТ</t>
  </si>
  <si>
    <t>Премиальный фонд с начисл. (итоги года) (по соглас. с правлением)</t>
  </si>
  <si>
    <t>Обслуживание ПОСЕЛКА</t>
  </si>
  <si>
    <t>2.1</t>
  </si>
  <si>
    <t>Бонус за обслуживание поселка (по итогам года)</t>
  </si>
  <si>
    <t>Расчетно-кассовое обслуживание (банк)</t>
  </si>
  <si>
    <t>Канцтовары, связь</t>
  </si>
  <si>
    <t>Обслуживание и ремонт цифровой техники (1С, ПК, ксерокс, касс.аппарат..)</t>
  </si>
  <si>
    <t>Налог на имущество общедолевой собственности</t>
  </si>
  <si>
    <t>Арендная плата за землю</t>
  </si>
  <si>
    <t>Санитарная обработка территории поселка (от клещей, проверка воды)</t>
  </si>
  <si>
    <t>Расходы воды и эл.энергии для общего имущества и мест общего пользования (здания, сети, КНС, ТП) (в т.ч. Э/эн )</t>
  </si>
  <si>
    <t>Текущий ремонт общего имущества и мест общего пользования</t>
  </si>
  <si>
    <t>Ремонт КНС 1</t>
  </si>
  <si>
    <t xml:space="preserve"> -</t>
  </si>
  <si>
    <t>Ремонт здания ТСН +  стеллажи и стулья</t>
  </si>
  <si>
    <t>Прочие расходы</t>
  </si>
  <si>
    <t>Затраты за счет средств накопленных резервов ТСН, по решению Правления</t>
  </si>
  <si>
    <t>Видеонаблюдение</t>
  </si>
  <si>
    <t>Прочие расходы по решению Общего собрания или Правления</t>
  </si>
  <si>
    <t>Устранение аварийных ситуаций</t>
  </si>
  <si>
    <t>Уборка территории (услуги сторонних организаций, ГСМ для техники, ПЩС)</t>
  </si>
  <si>
    <t>вывоз снега</t>
  </si>
  <si>
    <t>ПЩС</t>
  </si>
  <si>
    <t>бензин в уборочную технику</t>
  </si>
  <si>
    <t>уборка крыши</t>
  </si>
  <si>
    <t>Содержание Бобкэта</t>
  </si>
  <si>
    <t>Топливо</t>
  </si>
  <si>
    <t>Масла, смазки, детали, смена резины</t>
  </si>
  <si>
    <t>Вывоз ТБО</t>
  </si>
  <si>
    <t>Хозинвентарь, хоз.товары, инструменты</t>
  </si>
  <si>
    <t xml:space="preserve">ОХРАНА ПОСЕЛКА </t>
  </si>
  <si>
    <t>Тревожная кнопка</t>
  </si>
  <si>
    <t>Непредвиденные расходы (по соглас. с правлением)</t>
  </si>
  <si>
    <t>Налоги</t>
  </si>
  <si>
    <t>Расчетный размер взноса</t>
  </si>
  <si>
    <t>Должность</t>
  </si>
  <si>
    <t>Фамилия</t>
  </si>
  <si>
    <t>Абсолютное увеличение оплаты  "на руки"</t>
  </si>
  <si>
    <t>Управляющий</t>
  </si>
  <si>
    <t>Вторых А.Н.</t>
  </si>
  <si>
    <t>Сантехник</t>
  </si>
  <si>
    <t>Анищев И.Г.</t>
  </si>
  <si>
    <t>Электрик</t>
  </si>
  <si>
    <t>Потапенко С.В.</t>
  </si>
  <si>
    <t>Дворник</t>
  </si>
  <si>
    <t>Бухгалтер</t>
  </si>
  <si>
    <t>Бурлакова Н.В.</t>
  </si>
  <si>
    <t>Уборщик(ца)</t>
  </si>
  <si>
    <t>Итого</t>
  </si>
  <si>
    <t>Всего за год, включая премию по итогам года в размере месячной выплаты + оплата за держства в новогодние праздники</t>
  </si>
  <si>
    <t>Премия за работу в праздничные дни января</t>
  </si>
  <si>
    <t>Всего</t>
  </si>
  <si>
    <t>Расшифровка статьи "Обслуживание поселка" на 2025 год</t>
  </si>
  <si>
    <t>22 недели по 10000 руб</t>
  </si>
  <si>
    <t>Ремонт дорог поселка (ямочный)</t>
  </si>
  <si>
    <t>Сумма ежемесячной оплаты по договору, включая налоги, 2025</t>
  </si>
  <si>
    <t>Сумма выплаты "на руки" 2025</t>
  </si>
  <si>
    <t>Относительное увеличение выплат по договору 2025 к 2024, %</t>
  </si>
  <si>
    <t>Относительное увеличение выплат "на руки" 2025 к 2024, %</t>
  </si>
  <si>
    <t>Новогодняя иллюминация, укашение поселка</t>
  </si>
  <si>
    <t>НДФЛ</t>
  </si>
  <si>
    <t>Зарплата 2025</t>
  </si>
  <si>
    <t xml:space="preserve">Абсолютное увеличение </t>
  </si>
  <si>
    <t>Председатель правления</t>
  </si>
  <si>
    <t>Ермилова Д.И.</t>
  </si>
  <si>
    <t>Всего за год, включая премию и резерв отпусков</t>
  </si>
  <si>
    <t>Налоги на ФОТ*</t>
  </si>
  <si>
    <t>Итого по статье</t>
  </si>
  <si>
    <t>Всего по статье, включая резерв отпусков</t>
  </si>
  <si>
    <t>резерв отпусков 2022</t>
  </si>
  <si>
    <t>Среднедневной заработок</t>
  </si>
  <si>
    <t>расчетная стоимость 1 кв.м. на 2025 год</t>
  </si>
  <si>
    <t>руб/кв.м</t>
  </si>
  <si>
    <t>увеличение в % отношении</t>
  </si>
  <si>
    <t>руб</t>
  </si>
  <si>
    <t>Вступительные взносы</t>
  </si>
  <si>
    <t>депозит %</t>
  </si>
  <si>
    <t>аренда ТП</t>
  </si>
  <si>
    <t>аренда серверной</t>
  </si>
  <si>
    <t>Профилактический ремонт КНС + аврийные работы</t>
  </si>
  <si>
    <t>Абсолютное увеличение оплаты по договору 2017-2025</t>
  </si>
  <si>
    <t>Канализационный насос</t>
  </si>
  <si>
    <t>вывоз мусора машинами (экомусор)</t>
  </si>
  <si>
    <t>откачка КНС</t>
  </si>
  <si>
    <t>начислено/получено (факт)</t>
  </si>
  <si>
    <t>израсходовано (факт)</t>
  </si>
  <si>
    <t>Ежемесячные членские взносы</t>
  </si>
  <si>
    <t>% на остаток в банке, депозит</t>
  </si>
  <si>
    <t>% по депозиту</t>
  </si>
  <si>
    <t>плата за аренду помещения</t>
  </si>
  <si>
    <t>Платные услуги населению</t>
  </si>
  <si>
    <t>Резервы</t>
  </si>
  <si>
    <t>Увеличение резерва</t>
  </si>
  <si>
    <t>увеличение резерва</t>
  </si>
  <si>
    <t>Денежные средства (банк, касса), тыс.руб.</t>
  </si>
  <si>
    <t>Дебет.задолженность за собственниками</t>
  </si>
  <si>
    <t>Кредит.задолженность перед ресурсопоставляющими орг-ми</t>
  </si>
  <si>
    <t>Денежные средства, находящиеся в депозите</t>
  </si>
  <si>
    <t>Доходы от арены и %% по депозиту</t>
  </si>
  <si>
    <t>резерв тыс. руб.</t>
  </si>
  <si>
    <t>Целевой взнос в Резервный фонд</t>
  </si>
  <si>
    <t>Сумма ежемесячной оплаты по договору, включая налоги, 2026</t>
  </si>
  <si>
    <t>Сумма выплаты "на руки" 2026</t>
  </si>
  <si>
    <t>Расшифровка статьи "Общий ФОТ (с учетом налогов) " на 2026 год</t>
  </si>
  <si>
    <t>Зарплата 2026</t>
  </si>
  <si>
    <t>Фонд оплаты 2026</t>
  </si>
  <si>
    <t>Фонд оплаты 2025 факт</t>
  </si>
  <si>
    <t>годовая премия 2025</t>
  </si>
  <si>
    <t>Годовая премия 2026</t>
  </si>
  <si>
    <t>Количество дней неиспользованного отпуска на 31.12.2025</t>
  </si>
  <si>
    <t>плата за аренду ТП</t>
  </si>
  <si>
    <t>Увеличение на 150% (налоги с доходов по депозитам и от аренды)</t>
  </si>
  <si>
    <t>В пределах плановых затрат 2025 года (Обслуживание счета Альфа-банк 26900, остаток 3100 может быть комиссия по операциям в зависимости от ситуации)</t>
  </si>
  <si>
    <t>Увеличение на 5% (связь+интернет - 28200, домен - 5000, канцелярия/почта - 5800)</t>
  </si>
  <si>
    <t>Уменьшение на 20%,  (ИТС 1С - 49992, Модуль ЖКХ - 19300 + непредвиденные расходы по обслуживанию)</t>
  </si>
  <si>
    <t>Увеличение на 40%</t>
  </si>
  <si>
    <t>Увеличение на 10%</t>
  </si>
  <si>
    <t>В пределах плановых затрат 2025 года.</t>
  </si>
  <si>
    <t>Увеличение на 4,4%</t>
  </si>
  <si>
    <t>Увеличение на 60% покупка спецодежды 120тр</t>
  </si>
  <si>
    <t>ЗП председателя правления 21680 (1/2 МРОТ+с.н,р.к.) *12 месяцев + резерв отпуска 29487,84</t>
  </si>
  <si>
    <t>Увеличение на 8,5%</t>
  </si>
  <si>
    <t>Увеличение в среднем на 10,6%</t>
  </si>
  <si>
    <t xml:space="preserve"> (ремонт здания ТСН; проф.ремонт КНС)</t>
  </si>
  <si>
    <t>10 машин 5куб.м. по 3100, 5 машин 7куб.м. по 3710</t>
  </si>
  <si>
    <t>Фактически полученные доходы в 2025 году:</t>
  </si>
  <si>
    <t>остаток на дату</t>
  </si>
  <si>
    <t>оплата 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</si>
</sst>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0_ ;[Red]\-0\ "/>
    <numFmt numFmtId="165" formatCode="#,##0.00_ ;\-#,##0.00\ "/>
    <numFmt numFmtId="166" formatCode="#,##0_ ;\-#,##0\ "/>
    <numFmt numFmtId="167" formatCode="#,##0.00_ ;[Red]\-#,##0.00\ "/>
    <numFmt numFmtId="168" formatCode="_-* #,##0.00\ _₽_-;\-* #,##0.00\ _₽_-;_-* &quot;-&quot;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/>
    </xf>
    <xf numFmtId="164" fontId="7" fillId="2" borderId="11" xfId="1" applyNumberFormat="1" applyFont="1" applyFill="1" applyBorder="1" applyAlignment="1">
      <alignment horizontal="center" vertical="center"/>
    </xf>
    <xf numFmtId="10" fontId="7" fillId="2" borderId="11" xfId="1" applyNumberFormat="1" applyFont="1" applyFill="1" applyBorder="1" applyAlignment="1">
      <alignment horizontal="center" vertical="center"/>
    </xf>
    <xf numFmtId="43" fontId="6" fillId="2" borderId="11" xfId="0" applyNumberFormat="1" applyFont="1" applyFill="1" applyBorder="1" applyAlignment="1">
      <alignment horizontal="center" vertical="center"/>
    </xf>
    <xf numFmtId="10" fontId="6" fillId="2" borderId="12" xfId="0" applyNumberFormat="1" applyFont="1" applyFill="1" applyBorder="1" applyAlignment="1">
      <alignment horizontal="center" vertical="center"/>
    </xf>
    <xf numFmtId="1" fontId="5" fillId="0" borderId="14" xfId="1" applyNumberFormat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center" wrapText="1"/>
    </xf>
    <xf numFmtId="43" fontId="6" fillId="0" borderId="16" xfId="0" applyNumberFormat="1" applyFont="1" applyFill="1" applyBorder="1"/>
    <xf numFmtId="43" fontId="6" fillId="0" borderId="16" xfId="0" applyNumberFormat="1" applyFont="1" applyBorder="1"/>
    <xf numFmtId="164" fontId="5" fillId="0" borderId="15" xfId="1" applyNumberFormat="1" applyFont="1" applyFill="1" applyBorder="1" applyAlignment="1">
      <alignment horizontal="center" vertical="center"/>
    </xf>
    <xf numFmtId="10" fontId="7" fillId="0" borderId="15" xfId="1" applyNumberFormat="1" applyFont="1" applyFill="1" applyBorder="1" applyAlignment="1">
      <alignment horizontal="center" vertical="center"/>
    </xf>
    <xf numFmtId="10" fontId="6" fillId="0" borderId="16" xfId="0" applyNumberFormat="1" applyFont="1" applyFill="1" applyBorder="1" applyAlignment="1">
      <alignment horizontal="center"/>
    </xf>
    <xf numFmtId="1" fontId="8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43" fontId="4" fillId="0" borderId="16" xfId="0" applyNumberFormat="1" applyFont="1" applyFill="1" applyBorder="1"/>
    <xf numFmtId="10" fontId="4" fillId="0" borderId="16" xfId="0" applyNumberFormat="1" applyFont="1" applyFill="1" applyBorder="1" applyAlignment="1">
      <alignment horizontal="center"/>
    </xf>
    <xf numFmtId="1" fontId="8" fillId="0" borderId="17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/>
    </xf>
    <xf numFmtId="164" fontId="8" fillId="0" borderId="5" xfId="1" applyNumberFormat="1" applyFont="1" applyFill="1" applyBorder="1" applyAlignment="1">
      <alignment horizontal="center" vertical="center"/>
    </xf>
    <xf numFmtId="10" fontId="9" fillId="0" borderId="5" xfId="1" applyNumberFormat="1" applyFont="1" applyFill="1" applyBorder="1" applyAlignment="1">
      <alignment horizontal="center" vertical="center"/>
    </xf>
    <xf numFmtId="1" fontId="8" fillId="0" borderId="18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 wrapText="1"/>
    </xf>
    <xf numFmtId="164" fontId="8" fillId="0" borderId="19" xfId="1" applyNumberFormat="1" applyFont="1" applyFill="1" applyBorder="1" applyAlignment="1">
      <alignment horizontal="center" vertical="center"/>
    </xf>
    <xf numFmtId="0" fontId="9" fillId="0" borderId="19" xfId="1" applyNumberFormat="1" applyFont="1" applyFill="1" applyBorder="1" applyAlignment="1">
      <alignment horizontal="center" vertical="center"/>
    </xf>
    <xf numFmtId="1" fontId="8" fillId="0" borderId="20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left" vertical="center" wrapText="1"/>
    </xf>
    <xf numFmtId="164" fontId="8" fillId="0" borderId="21" xfId="1" applyNumberFormat="1" applyFont="1" applyFill="1" applyBorder="1" applyAlignment="1">
      <alignment horizontal="center" vertical="center"/>
    </xf>
    <xf numFmtId="0" fontId="9" fillId="0" borderId="21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/>
    </xf>
    <xf numFmtId="1" fontId="8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43" fontId="6" fillId="0" borderId="5" xfId="0" applyNumberFormat="1" applyFont="1" applyFill="1" applyBorder="1"/>
    <xf numFmtId="164" fontId="5" fillId="0" borderId="21" xfId="1" applyNumberFormat="1" applyFont="1" applyFill="1" applyBorder="1" applyAlignment="1">
      <alignment horizontal="center" vertical="center"/>
    </xf>
    <xf numFmtId="10" fontId="7" fillId="0" borderId="21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left" vertical="center" wrapText="1"/>
    </xf>
    <xf numFmtId="164" fontId="5" fillId="0" borderId="11" xfId="1" applyNumberFormat="1" applyFont="1" applyFill="1" applyBorder="1" applyAlignment="1">
      <alignment horizontal="center" vertical="center"/>
    </xf>
    <xf numFmtId="10" fontId="7" fillId="0" borderId="11" xfId="1" applyNumberFormat="1" applyFont="1" applyFill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wrapText="1"/>
    </xf>
    <xf numFmtId="164" fontId="5" fillId="0" borderId="11" xfId="1" applyNumberFormat="1" applyFont="1" applyFill="1" applyBorder="1" applyAlignment="1">
      <alignment horizontal="center"/>
    </xf>
    <xf numFmtId="10" fontId="7" fillId="0" borderId="11" xfId="1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vertical="center" wrapText="1"/>
    </xf>
    <xf numFmtId="1" fontId="8" fillId="0" borderId="22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 wrapText="1"/>
    </xf>
    <xf numFmtId="164" fontId="5" fillId="0" borderId="23" xfId="1" applyNumberFormat="1" applyFont="1" applyFill="1" applyBorder="1" applyAlignment="1">
      <alignment horizontal="center" vertical="center"/>
    </xf>
    <xf numFmtId="10" fontId="7" fillId="0" borderId="23" xfId="1" applyNumberFormat="1" applyFont="1" applyFill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 wrapText="1"/>
    </xf>
    <xf numFmtId="164" fontId="8" fillId="0" borderId="7" xfId="1" applyNumberFormat="1" applyFont="1" applyFill="1" applyBorder="1" applyAlignment="1">
      <alignment horizontal="center" vertical="center"/>
    </xf>
    <xf numFmtId="10" fontId="9" fillId="0" borderId="7" xfId="1" applyNumberFormat="1" applyFont="1" applyFill="1" applyBorder="1" applyAlignment="1">
      <alignment horizontal="center" vertical="center"/>
    </xf>
    <xf numFmtId="10" fontId="9" fillId="0" borderId="19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wrapText="1"/>
    </xf>
    <xf numFmtId="0" fontId="4" fillId="0" borderId="17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1" fontId="8" fillId="0" borderId="14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/>
    </xf>
    <xf numFmtId="1" fontId="8" fillId="0" borderId="10" xfId="1" applyNumberFormat="1" applyFont="1" applyFill="1" applyBorder="1" applyAlignment="1">
      <alignment horizontal="center" vertical="center"/>
    </xf>
    <xf numFmtId="43" fontId="7" fillId="0" borderId="16" xfId="0" applyNumberFormat="1" applyFont="1" applyFill="1" applyBorder="1"/>
    <xf numFmtId="10" fontId="7" fillId="0" borderId="16" xfId="0" applyNumberFormat="1" applyFont="1" applyFill="1" applyBorder="1" applyAlignment="1">
      <alignment horizontal="center"/>
    </xf>
    <xf numFmtId="1" fontId="8" fillId="3" borderId="10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left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164" fontId="5" fillId="4" borderId="11" xfId="1" applyNumberFormat="1" applyFont="1" applyFill="1" applyBorder="1" applyAlignment="1">
      <alignment horizontal="center" vertical="center"/>
    </xf>
    <xf numFmtId="10" fontId="7" fillId="4" borderId="11" xfId="1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 wrapText="1"/>
    </xf>
    <xf numFmtId="43" fontId="6" fillId="0" borderId="15" xfId="0" applyNumberFormat="1" applyFont="1" applyFill="1" applyBorder="1"/>
    <xf numFmtId="10" fontId="6" fillId="0" borderId="15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1" fontId="8" fillId="0" borderId="5" xfId="1" applyNumberFormat="1" applyFont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0" fontId="7" fillId="0" borderId="5" xfId="1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3" fontId="6" fillId="0" borderId="0" xfId="0" applyNumberFormat="1" applyFont="1"/>
    <xf numFmtId="3" fontId="6" fillId="0" borderId="0" xfId="0" applyNumberFormat="1" applyFont="1" applyFill="1"/>
    <xf numFmtId="3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0" fillId="0" borderId="5" xfId="0" applyBorder="1" applyAlignment="1">
      <alignment wrapText="1"/>
    </xf>
    <xf numFmtId="0" fontId="0" fillId="0" borderId="5" xfId="0" applyBorder="1"/>
    <xf numFmtId="43" fontId="0" fillId="0" borderId="5" xfId="0" applyNumberFormat="1" applyBorder="1"/>
    <xf numFmtId="43" fontId="3" fillId="0" borderId="5" xfId="0" applyNumberFormat="1" applyFont="1" applyBorder="1"/>
    <xf numFmtId="43" fontId="0" fillId="0" borderId="5" xfId="0" applyNumberFormat="1" applyFill="1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43" fontId="0" fillId="0" borderId="0" xfId="0" applyNumberFormat="1"/>
    <xf numFmtId="0" fontId="0" fillId="0" borderId="0" xfId="0" applyBorder="1"/>
    <xf numFmtId="43" fontId="0" fillId="0" borderId="0" xfId="0" applyNumberFormat="1" applyBorder="1"/>
    <xf numFmtId="0" fontId="0" fillId="0" borderId="5" xfId="0" applyBorder="1" applyAlignment="1">
      <alignment horizontal="center" wrapText="1"/>
    </xf>
    <xf numFmtId="165" fontId="0" fillId="0" borderId="5" xfId="0" applyNumberFormat="1" applyBorder="1" applyAlignment="1">
      <alignment horizontal="right"/>
    </xf>
    <xf numFmtId="4" fontId="0" fillId="0" borderId="5" xfId="0" applyNumberFormat="1" applyBorder="1"/>
    <xf numFmtId="166" fontId="0" fillId="0" borderId="5" xfId="0" applyNumberFormat="1" applyBorder="1" applyAlignment="1">
      <alignment horizontal="right"/>
    </xf>
    <xf numFmtId="4" fontId="3" fillId="0" borderId="5" xfId="0" applyNumberFormat="1" applyFont="1" applyBorder="1"/>
    <xf numFmtId="4" fontId="1" fillId="0" borderId="5" xfId="0" applyNumberFormat="1" applyFont="1" applyBorder="1"/>
    <xf numFmtId="0" fontId="0" fillId="0" borderId="5" xfId="0" applyBorder="1" applyAlignment="1">
      <alignment vertical="top" wrapText="1"/>
    </xf>
    <xf numFmtId="2" fontId="0" fillId="0" borderId="5" xfId="0" applyNumberFormat="1" applyBorder="1"/>
    <xf numFmtId="0" fontId="0" fillId="0" borderId="0" xfId="0" applyFill="1" applyBorder="1"/>
    <xf numFmtId="43" fontId="9" fillId="0" borderId="5" xfId="0" applyNumberFormat="1" applyFont="1" applyFill="1" applyBorder="1" applyAlignment="1">
      <alignment horizontal="center"/>
    </xf>
    <xf numFmtId="43" fontId="9" fillId="0" borderId="5" xfId="0" applyNumberFormat="1" applyFont="1" applyFill="1" applyBorder="1"/>
    <xf numFmtId="43" fontId="7" fillId="0" borderId="5" xfId="0" applyNumberFormat="1" applyFont="1" applyFill="1" applyBorder="1"/>
    <xf numFmtId="43" fontId="7" fillId="0" borderId="7" xfId="0" applyNumberFormat="1" applyFont="1" applyFill="1" applyBorder="1"/>
    <xf numFmtId="4" fontId="5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/>
    <xf numFmtId="0" fontId="4" fillId="0" borderId="5" xfId="0" applyFont="1" applyBorder="1"/>
    <xf numFmtId="43" fontId="4" fillId="0" borderId="5" xfId="0" applyNumberFormat="1" applyFont="1" applyBorder="1"/>
    <xf numFmtId="14" fontId="4" fillId="0" borderId="5" xfId="0" applyNumberFormat="1" applyFont="1" applyBorder="1"/>
    <xf numFmtId="0" fontId="13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0" fontId="4" fillId="0" borderId="5" xfId="0" applyNumberFormat="1" applyFont="1" applyBorder="1"/>
    <xf numFmtId="40" fontId="4" fillId="5" borderId="5" xfId="0" applyNumberFormat="1" applyFont="1" applyFill="1" applyBorder="1"/>
    <xf numFmtId="40" fontId="4" fillId="0" borderId="5" xfId="0" applyNumberFormat="1" applyFont="1" applyFill="1" applyBorder="1"/>
    <xf numFmtId="0" fontId="4" fillId="0" borderId="5" xfId="0" applyFont="1" applyBorder="1" applyAlignment="1">
      <alignment wrapText="1"/>
    </xf>
    <xf numFmtId="14" fontId="4" fillId="0" borderId="5" xfId="0" applyNumberFormat="1" applyFont="1" applyBorder="1" applyAlignment="1">
      <alignment wrapText="1"/>
    </xf>
    <xf numFmtId="40" fontId="9" fillId="0" borderId="5" xfId="0" applyNumberFormat="1" applyFont="1" applyBorder="1"/>
    <xf numFmtId="0" fontId="13" fillId="0" borderId="0" xfId="0" applyFont="1" applyAlignment="1">
      <alignment wrapText="1"/>
    </xf>
    <xf numFmtId="2" fontId="4" fillId="0" borderId="5" xfId="0" applyNumberFormat="1" applyFont="1" applyBorder="1"/>
    <xf numFmtId="40" fontId="4" fillId="0" borderId="5" xfId="0" applyNumberFormat="1" applyFont="1" applyFill="1" applyBorder="1" applyAlignment="1">
      <alignment horizontal="center" vertical="center"/>
    </xf>
    <xf numFmtId="167" fontId="13" fillId="0" borderId="0" xfId="0" applyNumberFormat="1" applyFont="1"/>
    <xf numFmtId="2" fontId="4" fillId="5" borderId="5" xfId="0" applyNumberFormat="1" applyFont="1" applyFill="1" applyBorder="1"/>
    <xf numFmtId="0" fontId="0" fillId="0" borderId="0" xfId="0" applyFill="1" applyBorder="1" applyAlignment="1">
      <alignment horizontal="center"/>
    </xf>
    <xf numFmtId="168" fontId="4" fillId="0" borderId="0" xfId="0" applyNumberFormat="1" applyFont="1" applyFill="1" applyAlignment="1">
      <alignment wrapText="1"/>
    </xf>
    <xf numFmtId="0" fontId="10" fillId="0" borderId="5" xfId="0" applyFont="1" applyFill="1" applyBorder="1" applyAlignment="1">
      <alignment horizontal="left" wrapText="1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0" fontId="4" fillId="0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13" fillId="0" borderId="0" xfId="0" applyNumberFormat="1" applyFont="1"/>
  </cellXfs>
  <cellStyles count="2">
    <cellStyle name="Обычный" xfId="0" builtinId="0"/>
    <cellStyle name="Обычный 2" xfId="1" xr:uid="{ACF4DA6F-CC61-4C8B-8572-1FECBF96C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9"/>
  <sheetViews>
    <sheetView tabSelected="1" topLeftCell="B34" zoomScaleNormal="100" workbookViewId="0">
      <selection activeCell="F61" sqref="F61"/>
    </sheetView>
  </sheetViews>
  <sheetFormatPr defaultRowHeight="15.75" x14ac:dyDescent="0.25"/>
  <cols>
    <col min="1" max="1" width="1.7109375" style="1" customWidth="1"/>
    <col min="2" max="2" width="3.85546875" style="1" bestFit="1" customWidth="1"/>
    <col min="3" max="3" width="78" style="1" customWidth="1"/>
    <col min="4" max="4" width="17.85546875" style="1" bestFit="1" customWidth="1"/>
    <col min="5" max="5" width="17.5703125" style="1" customWidth="1"/>
    <col min="6" max="6" width="13.28515625" style="1" bestFit="1" customWidth="1"/>
    <col min="7" max="7" width="12.85546875" style="1" bestFit="1" customWidth="1"/>
    <col min="8" max="8" width="16.85546875" style="1" customWidth="1"/>
    <col min="9" max="9" width="16.5703125" style="1" bestFit="1" customWidth="1"/>
    <col min="10" max="10" width="15.140625" style="2" customWidth="1"/>
    <col min="11" max="11" width="54.140625" style="1" bestFit="1" customWidth="1"/>
    <col min="12" max="16384" width="9.140625" style="1"/>
  </cols>
  <sheetData>
    <row r="1" spans="2:13" ht="16.5" thickBot="1" x14ac:dyDescent="0.3"/>
    <row r="2" spans="2:13" ht="15.75" customHeight="1" x14ac:dyDescent="0.25">
      <c r="B2" s="149" t="s">
        <v>0</v>
      </c>
      <c r="C2" s="150"/>
      <c r="D2" s="153">
        <v>2025</v>
      </c>
      <c r="E2" s="153"/>
      <c r="F2" s="154" t="s">
        <v>1</v>
      </c>
      <c r="G2" s="154"/>
      <c r="H2" s="3">
        <v>2026</v>
      </c>
      <c r="I2" s="155" t="s">
        <v>2</v>
      </c>
      <c r="J2" s="156"/>
      <c r="K2" s="157" t="s">
        <v>3</v>
      </c>
      <c r="M2" s="2"/>
    </row>
    <row r="3" spans="2:13" ht="16.5" thickBot="1" x14ac:dyDescent="0.3">
      <c r="B3" s="151"/>
      <c r="C3" s="152"/>
      <c r="D3" s="4" t="s">
        <v>4</v>
      </c>
      <c r="E3" s="5" t="s">
        <v>5</v>
      </c>
      <c r="F3" s="6" t="s">
        <v>6</v>
      </c>
      <c r="G3" s="6" t="s">
        <v>7</v>
      </c>
      <c r="H3" s="7" t="s">
        <v>8</v>
      </c>
      <c r="I3" s="8" t="s">
        <v>9</v>
      </c>
      <c r="J3" s="9" t="s">
        <v>10</v>
      </c>
      <c r="K3" s="157"/>
      <c r="M3" s="2"/>
    </row>
    <row r="4" spans="2:13" ht="16.5" thickBot="1" x14ac:dyDescent="0.3">
      <c r="B4" s="159" t="s">
        <v>11</v>
      </c>
      <c r="C4" s="160"/>
      <c r="D4" s="10">
        <f>D5+D12+D10+D11+D13+D14+D17+D16+D15+D18+D19+D25+D26+D31+D32+D39+D42+D43+D44+D46+D47+D45</f>
        <v>12617742.11816</v>
      </c>
      <c r="E4" s="10">
        <f>E5+E12+E10+E11+E13+E14+E17+E16+E15+E18+E19+E25+E26+E31+E32+E39+E42+E43+E44+E46+E47+E45</f>
        <v>12787753.470000001</v>
      </c>
      <c r="F4" s="11">
        <f>D4-E4</f>
        <v>-170011.3518400006</v>
      </c>
      <c r="G4" s="12">
        <f>E4/D4</f>
        <v>1.0134739916419209</v>
      </c>
      <c r="H4" s="10">
        <f>H5+H12+H10+H11+H13+H14+H17+H16+H15+H18+H19+H25+H26+H31+H32+H39+H42+H43+H44+H46+H47+H45</f>
        <v>14029053.487679999</v>
      </c>
      <c r="I4" s="13">
        <f>H4-D4</f>
        <v>1411311.3695199993</v>
      </c>
      <c r="J4" s="14">
        <f>H4/D4</f>
        <v>1.1118513404619974</v>
      </c>
      <c r="K4" s="158"/>
      <c r="M4" s="2"/>
    </row>
    <row r="5" spans="2:13" ht="16.5" thickBot="1" x14ac:dyDescent="0.3">
      <c r="B5" s="15">
        <v>1</v>
      </c>
      <c r="C5" s="16" t="s">
        <v>12</v>
      </c>
      <c r="D5" s="17">
        <f>D6+D7+D8</f>
        <v>292164.99815999996</v>
      </c>
      <c r="E5" s="18">
        <v>286005.24</v>
      </c>
      <c r="F5" s="19">
        <f>D5-E5</f>
        <v>6159.7581599999685</v>
      </c>
      <c r="G5" s="20">
        <f t="shared" ref="G5:G47" si="0">E5/D5</f>
        <v>0.9789168510985472</v>
      </c>
      <c r="H5" s="17">
        <f>H6+H7+H8</f>
        <v>377121.48768000002</v>
      </c>
      <c r="I5" s="17">
        <f>H5-D5</f>
        <v>84956.489520000061</v>
      </c>
      <c r="J5" s="21">
        <f>H5/D5</f>
        <v>1.290782571680523</v>
      </c>
      <c r="K5" s="146" t="s">
        <v>136</v>
      </c>
      <c r="M5" s="2"/>
    </row>
    <row r="6" spans="2:13" ht="16.5" thickBot="1" x14ac:dyDescent="0.3">
      <c r="B6" s="22" t="s">
        <v>13</v>
      </c>
      <c r="C6" s="23" t="s">
        <v>14</v>
      </c>
      <c r="D6" s="120">
        <v>224397.08</v>
      </c>
      <c r="E6" s="24">
        <v>216000</v>
      </c>
      <c r="F6" s="25">
        <f>D6-E6</f>
        <v>8397.0799999999872</v>
      </c>
      <c r="G6" s="26">
        <f t="shared" si="0"/>
        <v>0.9625793704623965</v>
      </c>
      <c r="H6" s="120">
        <f>'расшифровка ст.1'!G6</f>
        <v>289647.84000000003</v>
      </c>
      <c r="I6" s="27">
        <f t="shared" ref="I6:I46" si="1">H6-D6</f>
        <v>65250.760000000038</v>
      </c>
      <c r="J6" s="28">
        <f t="shared" ref="J6:J45" si="2">H6/D6</f>
        <v>1.290782571680523</v>
      </c>
      <c r="K6" s="147"/>
      <c r="M6" s="2"/>
    </row>
    <row r="7" spans="2:13" ht="16.5" thickBot="1" x14ac:dyDescent="0.3">
      <c r="B7" s="29" t="s">
        <v>13</v>
      </c>
      <c r="C7" s="30" t="s">
        <v>15</v>
      </c>
      <c r="D7" s="120">
        <f>(D6+D8)*0.302</f>
        <v>67767.918160000001</v>
      </c>
      <c r="E7" s="24">
        <v>70005.239999999991</v>
      </c>
      <c r="F7" s="31">
        <f>D7-E7</f>
        <v>-2237.3218399999896</v>
      </c>
      <c r="G7" s="32">
        <f t="shared" si="0"/>
        <v>1.0330144690990459</v>
      </c>
      <c r="H7" s="120">
        <f>(H6+H8)*0.302</f>
        <v>87473.647680000009</v>
      </c>
      <c r="I7" s="27">
        <f t="shared" si="1"/>
        <v>19705.729520000008</v>
      </c>
      <c r="J7" s="28">
        <f t="shared" si="2"/>
        <v>1.2907825716805228</v>
      </c>
      <c r="K7" s="147"/>
      <c r="M7" s="2"/>
    </row>
    <row r="8" spans="2:13" ht="16.5" thickBot="1" x14ac:dyDescent="0.3">
      <c r="B8" s="33" t="s">
        <v>13</v>
      </c>
      <c r="C8" s="34" t="s">
        <v>16</v>
      </c>
      <c r="D8" s="119"/>
      <c r="E8" s="24">
        <v>0</v>
      </c>
      <c r="F8" s="35">
        <f>D8-E8</f>
        <v>0</v>
      </c>
      <c r="G8" s="36"/>
      <c r="H8" s="119"/>
      <c r="I8" s="27">
        <f t="shared" si="1"/>
        <v>0</v>
      </c>
      <c r="J8" s="28"/>
      <c r="K8" s="148"/>
      <c r="M8" s="2"/>
    </row>
    <row r="9" spans="2:13" ht="16.5" thickBot="1" x14ac:dyDescent="0.3">
      <c r="B9" s="37"/>
      <c r="C9" s="38"/>
      <c r="D9" s="120"/>
      <c r="E9" s="24"/>
      <c r="F9" s="39"/>
      <c r="G9" s="40"/>
      <c r="H9" s="120"/>
      <c r="I9" s="27">
        <f t="shared" si="1"/>
        <v>0</v>
      </c>
      <c r="J9" s="28"/>
      <c r="K9" s="41"/>
      <c r="M9" s="2"/>
    </row>
    <row r="10" spans="2:13" ht="16.5" thickBot="1" x14ac:dyDescent="0.3">
      <c r="B10" s="42">
        <v>2</v>
      </c>
      <c r="C10" s="43" t="s">
        <v>17</v>
      </c>
      <c r="D10" s="121">
        <v>5948362</v>
      </c>
      <c r="E10" s="24">
        <v>5948362</v>
      </c>
      <c r="F10" s="45">
        <f t="shared" ref="F10:F47" si="3">D10-E10</f>
        <v>0</v>
      </c>
      <c r="G10" s="46">
        <f t="shared" si="0"/>
        <v>1</v>
      </c>
      <c r="H10" s="121">
        <f>'расшифровка ст.2'!E10*12+'расшифровка ст.2'!E12</f>
        <v>6605644</v>
      </c>
      <c r="I10" s="17">
        <f t="shared" si="1"/>
        <v>657282</v>
      </c>
      <c r="J10" s="21">
        <f t="shared" si="2"/>
        <v>1.1104979824697958</v>
      </c>
      <c r="K10" s="146" t="s">
        <v>138</v>
      </c>
      <c r="M10" s="2"/>
    </row>
    <row r="11" spans="2:13" ht="16.5" thickBot="1" x14ac:dyDescent="0.3">
      <c r="B11" s="47" t="s">
        <v>18</v>
      </c>
      <c r="C11" s="48" t="s">
        <v>19</v>
      </c>
      <c r="D11" s="121">
        <v>490600</v>
      </c>
      <c r="E11" s="24">
        <v>490600</v>
      </c>
      <c r="F11" s="49">
        <f t="shared" si="3"/>
        <v>0</v>
      </c>
      <c r="G11" s="50">
        <f t="shared" si="0"/>
        <v>1</v>
      </c>
      <c r="H11" s="121">
        <f>'расшифровка ст.2'!E10</f>
        <v>540280</v>
      </c>
      <c r="I11" s="17">
        <f t="shared" si="1"/>
        <v>49680</v>
      </c>
      <c r="J11" s="21">
        <f t="shared" si="2"/>
        <v>1.1012637586628617</v>
      </c>
      <c r="K11" s="148"/>
      <c r="M11" s="2"/>
    </row>
    <row r="12" spans="2:13" ht="63.75" thickBot="1" x14ac:dyDescent="0.3">
      <c r="B12" s="51">
        <v>3</v>
      </c>
      <c r="C12" s="52" t="s">
        <v>20</v>
      </c>
      <c r="D12" s="121">
        <v>30000</v>
      </c>
      <c r="E12" s="24">
        <v>28198</v>
      </c>
      <c r="F12" s="49">
        <f t="shared" si="3"/>
        <v>1802</v>
      </c>
      <c r="G12" s="50">
        <f t="shared" si="0"/>
        <v>0.93993333333333329</v>
      </c>
      <c r="H12" s="121">
        <v>30000</v>
      </c>
      <c r="I12" s="17">
        <f t="shared" si="1"/>
        <v>0</v>
      </c>
      <c r="J12" s="21">
        <f t="shared" si="2"/>
        <v>1</v>
      </c>
      <c r="K12" s="66" t="s">
        <v>128</v>
      </c>
      <c r="M12" s="2"/>
    </row>
    <row r="13" spans="2:13" ht="32.25" thickBot="1" x14ac:dyDescent="0.3">
      <c r="B13" s="51">
        <v>4</v>
      </c>
      <c r="C13" s="52" t="s">
        <v>21</v>
      </c>
      <c r="D13" s="121">
        <v>37000</v>
      </c>
      <c r="E13" s="24">
        <v>39688.11</v>
      </c>
      <c r="F13" s="49">
        <f t="shared" si="3"/>
        <v>-2688.1100000000006</v>
      </c>
      <c r="G13" s="50">
        <f t="shared" si="0"/>
        <v>1.0726516216216215</v>
      </c>
      <c r="H13" s="121">
        <v>39000</v>
      </c>
      <c r="I13" s="17">
        <f t="shared" si="1"/>
        <v>2000</v>
      </c>
      <c r="J13" s="21">
        <f>H13/D13</f>
        <v>1.0540540540540539</v>
      </c>
      <c r="K13" s="66" t="s">
        <v>129</v>
      </c>
      <c r="M13" s="2"/>
    </row>
    <row r="14" spans="2:13" ht="48" thickBot="1" x14ac:dyDescent="0.3">
      <c r="B14" s="51">
        <v>5</v>
      </c>
      <c r="C14" s="52" t="s">
        <v>22</v>
      </c>
      <c r="D14" s="121">
        <v>105000</v>
      </c>
      <c r="E14" s="24">
        <v>108531.2</v>
      </c>
      <c r="F14" s="49">
        <f>D14-E14</f>
        <v>-3531.1999999999971</v>
      </c>
      <c r="G14" s="50">
        <f t="shared" si="0"/>
        <v>1.0336304761904762</v>
      </c>
      <c r="H14" s="121">
        <v>85000</v>
      </c>
      <c r="I14" s="17">
        <f t="shared" si="1"/>
        <v>-20000</v>
      </c>
      <c r="J14" s="21">
        <f t="shared" si="2"/>
        <v>0.80952380952380953</v>
      </c>
      <c r="K14" s="66" t="s">
        <v>130</v>
      </c>
      <c r="M14" s="2"/>
    </row>
    <row r="15" spans="2:13" ht="16.5" thickBot="1" x14ac:dyDescent="0.3">
      <c r="B15" s="51">
        <v>6</v>
      </c>
      <c r="C15" s="52" t="s">
        <v>23</v>
      </c>
      <c r="D15" s="121">
        <v>0</v>
      </c>
      <c r="E15" s="24">
        <v>0</v>
      </c>
      <c r="F15" s="49">
        <f t="shared" si="3"/>
        <v>0</v>
      </c>
      <c r="G15" s="50"/>
      <c r="H15" s="121">
        <v>0</v>
      </c>
      <c r="I15" s="17">
        <f t="shared" si="1"/>
        <v>0</v>
      </c>
      <c r="J15" s="21"/>
      <c r="K15" s="41"/>
      <c r="M15" s="2"/>
    </row>
    <row r="16" spans="2:13" ht="16.5" thickBot="1" x14ac:dyDescent="0.3">
      <c r="B16" s="51">
        <v>7</v>
      </c>
      <c r="C16" s="52" t="s">
        <v>24</v>
      </c>
      <c r="D16" s="121">
        <v>0</v>
      </c>
      <c r="E16" s="24">
        <v>0</v>
      </c>
      <c r="F16" s="49">
        <f t="shared" si="3"/>
        <v>0</v>
      </c>
      <c r="G16" s="50"/>
      <c r="H16" s="121">
        <v>0</v>
      </c>
      <c r="I16" s="17">
        <f t="shared" si="1"/>
        <v>0</v>
      </c>
      <c r="J16" s="21"/>
      <c r="K16" s="41"/>
      <c r="M16" s="2"/>
    </row>
    <row r="17" spans="2:13" ht="16.5" thickBot="1" x14ac:dyDescent="0.3">
      <c r="B17" s="51">
        <v>8</v>
      </c>
      <c r="C17" s="52" t="s">
        <v>25</v>
      </c>
      <c r="D17" s="121">
        <v>135000</v>
      </c>
      <c r="E17" s="24">
        <v>172200</v>
      </c>
      <c r="F17" s="49">
        <f t="shared" si="3"/>
        <v>-37200</v>
      </c>
      <c r="G17" s="50">
        <f t="shared" si="0"/>
        <v>1.2755555555555556</v>
      </c>
      <c r="H17" s="121">
        <v>189000</v>
      </c>
      <c r="I17" s="17">
        <f t="shared" si="1"/>
        <v>54000</v>
      </c>
      <c r="J17" s="21">
        <f t="shared" si="2"/>
        <v>1.4</v>
      </c>
      <c r="K17" s="41" t="s">
        <v>131</v>
      </c>
      <c r="M17" s="2"/>
    </row>
    <row r="18" spans="2:13" ht="37.5" customHeight="1" thickBot="1" x14ac:dyDescent="0.3">
      <c r="B18" s="51">
        <v>9</v>
      </c>
      <c r="C18" s="52" t="s">
        <v>26</v>
      </c>
      <c r="D18" s="121">
        <v>640500</v>
      </c>
      <c r="E18" s="53">
        <v>658842.83000000007</v>
      </c>
      <c r="F18" s="54">
        <f t="shared" si="3"/>
        <v>-18342.830000000075</v>
      </c>
      <c r="G18" s="55">
        <f t="shared" si="0"/>
        <v>1.0286382982045279</v>
      </c>
      <c r="H18" s="121">
        <v>695000</v>
      </c>
      <c r="I18" s="17">
        <f t="shared" si="1"/>
        <v>54500</v>
      </c>
      <c r="J18" s="21">
        <f>H18/D18</f>
        <v>1.0850897736143639</v>
      </c>
      <c r="K18" s="56" t="s">
        <v>137</v>
      </c>
      <c r="M18" s="2"/>
    </row>
    <row r="19" spans="2:13" ht="16.5" thickBot="1" x14ac:dyDescent="0.3">
      <c r="B19" s="57">
        <v>10</v>
      </c>
      <c r="C19" s="58" t="s">
        <v>27</v>
      </c>
      <c r="D19" s="121">
        <f>D20+D21+D24+D22+D23</f>
        <v>500000</v>
      </c>
      <c r="E19" s="24">
        <v>589570.72</v>
      </c>
      <c r="F19" s="59">
        <f t="shared" si="3"/>
        <v>-89570.719999999972</v>
      </c>
      <c r="G19" s="60">
        <f t="shared" si="0"/>
        <v>1.17914144</v>
      </c>
      <c r="H19" s="121">
        <f>H20+H21+H24+H22+H23</f>
        <v>500000</v>
      </c>
      <c r="I19" s="17">
        <f t="shared" si="1"/>
        <v>0</v>
      </c>
      <c r="J19" s="21">
        <f t="shared" si="2"/>
        <v>1</v>
      </c>
      <c r="K19" s="146" t="s">
        <v>139</v>
      </c>
      <c r="M19" s="2"/>
    </row>
    <row r="20" spans="2:13" ht="16.5" thickBot="1" x14ac:dyDescent="0.3">
      <c r="B20" s="22" t="s">
        <v>13</v>
      </c>
      <c r="C20" s="23" t="s">
        <v>28</v>
      </c>
      <c r="D20" s="120"/>
      <c r="E20" s="24">
        <v>8549</v>
      </c>
      <c r="F20" s="25">
        <f t="shared" si="3"/>
        <v>-8549</v>
      </c>
      <c r="G20" s="26" t="e">
        <f t="shared" si="0"/>
        <v>#DIV/0!</v>
      </c>
      <c r="H20" s="120"/>
      <c r="I20" s="27">
        <f t="shared" si="1"/>
        <v>0</v>
      </c>
      <c r="J20" s="28" t="e">
        <f>H20/D20</f>
        <v>#DIV/0!</v>
      </c>
      <c r="K20" s="147"/>
      <c r="M20" s="2"/>
    </row>
    <row r="21" spans="2:13" ht="16.5" thickBot="1" x14ac:dyDescent="0.3">
      <c r="B21" s="29" t="s">
        <v>13</v>
      </c>
      <c r="C21" s="30" t="s">
        <v>95</v>
      </c>
      <c r="D21" s="120">
        <v>290000</v>
      </c>
      <c r="E21" s="24">
        <v>290000</v>
      </c>
      <c r="F21" s="31">
        <f t="shared" si="3"/>
        <v>0</v>
      </c>
      <c r="G21" s="32">
        <f t="shared" si="0"/>
        <v>1</v>
      </c>
      <c r="H21" s="120">
        <v>290000</v>
      </c>
      <c r="I21" s="27">
        <f t="shared" si="1"/>
        <v>0</v>
      </c>
      <c r="J21" s="28">
        <f t="shared" si="2"/>
        <v>1</v>
      </c>
      <c r="K21" s="147"/>
      <c r="M21" s="2"/>
    </row>
    <row r="22" spans="2:13" ht="16.5" thickBot="1" x14ac:dyDescent="0.3">
      <c r="B22" s="61" t="s">
        <v>29</v>
      </c>
      <c r="C22" s="62" t="s">
        <v>30</v>
      </c>
      <c r="D22" s="120">
        <v>50000</v>
      </c>
      <c r="E22" s="24">
        <v>0</v>
      </c>
      <c r="F22" s="63"/>
      <c r="G22" s="64"/>
      <c r="H22" s="120">
        <v>50000</v>
      </c>
      <c r="I22" s="27">
        <f t="shared" si="1"/>
        <v>0</v>
      </c>
      <c r="J22" s="28">
        <f t="shared" si="2"/>
        <v>1</v>
      </c>
      <c r="K22" s="147"/>
      <c r="M22" s="2"/>
    </row>
    <row r="23" spans="2:13" ht="16.5" thickBot="1" x14ac:dyDescent="0.3">
      <c r="B23" s="61" t="s">
        <v>13</v>
      </c>
      <c r="C23" s="62" t="s">
        <v>75</v>
      </c>
      <c r="D23" s="120">
        <v>50000</v>
      </c>
      <c r="E23" s="24">
        <v>21600</v>
      </c>
      <c r="F23" s="63"/>
      <c r="G23" s="64"/>
      <c r="H23" s="120">
        <v>50000</v>
      </c>
      <c r="I23" s="27"/>
      <c r="J23" s="28"/>
      <c r="K23" s="147"/>
      <c r="M23" s="2"/>
    </row>
    <row r="24" spans="2:13" ht="16.5" thickBot="1" x14ac:dyDescent="0.3">
      <c r="B24" s="33" t="s">
        <v>13</v>
      </c>
      <c r="C24" s="34" t="s">
        <v>31</v>
      </c>
      <c r="D24" s="120">
        <v>110000</v>
      </c>
      <c r="E24" s="24">
        <v>269421.71999999997</v>
      </c>
      <c r="F24" s="35">
        <f t="shared" si="3"/>
        <v>-159421.71999999997</v>
      </c>
      <c r="G24" s="65">
        <v>0</v>
      </c>
      <c r="H24" s="120">
        <v>110000</v>
      </c>
      <c r="I24" s="27">
        <f t="shared" si="1"/>
        <v>0</v>
      </c>
      <c r="J24" s="28">
        <f t="shared" si="2"/>
        <v>1</v>
      </c>
      <c r="K24" s="148"/>
      <c r="M24" s="2"/>
    </row>
    <row r="25" spans="2:13" ht="29.25" customHeight="1" thickBot="1" x14ac:dyDescent="0.3">
      <c r="B25" s="37">
        <v>11</v>
      </c>
      <c r="C25" s="38" t="s">
        <v>70</v>
      </c>
      <c r="D25" s="121">
        <v>0</v>
      </c>
      <c r="E25" s="24">
        <v>25000</v>
      </c>
      <c r="F25" s="45">
        <f t="shared" si="3"/>
        <v>-25000</v>
      </c>
      <c r="G25" s="46" t="e">
        <f t="shared" si="0"/>
        <v>#DIV/0!</v>
      </c>
      <c r="H25" s="121">
        <v>0</v>
      </c>
      <c r="I25" s="17">
        <f t="shared" si="1"/>
        <v>0</v>
      </c>
      <c r="J25" s="21" t="e">
        <f t="shared" si="2"/>
        <v>#DIV/0!</v>
      </c>
      <c r="K25" s="66"/>
      <c r="M25" s="2"/>
    </row>
    <row r="26" spans="2:13" ht="32.25" thickBot="1" x14ac:dyDescent="0.3">
      <c r="B26" s="57">
        <v>12</v>
      </c>
      <c r="C26" s="58" t="s">
        <v>32</v>
      </c>
      <c r="D26" s="121">
        <f>D27+D28+D29+D30</f>
        <v>0</v>
      </c>
      <c r="E26" s="24">
        <v>0</v>
      </c>
      <c r="F26" s="59">
        <f t="shared" si="3"/>
        <v>0</v>
      </c>
      <c r="G26" s="46"/>
      <c r="H26" s="121">
        <f>H27+H28+H29+H30</f>
        <v>0</v>
      </c>
      <c r="I26" s="17">
        <f t="shared" si="1"/>
        <v>0</v>
      </c>
      <c r="J26" s="21"/>
      <c r="K26" s="146"/>
      <c r="M26" s="2"/>
    </row>
    <row r="27" spans="2:13" ht="16.5" thickBot="1" x14ac:dyDescent="0.3">
      <c r="B27" s="22" t="s">
        <v>13</v>
      </c>
      <c r="C27" s="23" t="s">
        <v>33</v>
      </c>
      <c r="D27" s="120"/>
      <c r="E27" s="24">
        <v>0</v>
      </c>
      <c r="F27" s="25">
        <f t="shared" si="3"/>
        <v>0</v>
      </c>
      <c r="G27" s="26"/>
      <c r="H27" s="120"/>
      <c r="I27" s="27">
        <f t="shared" si="1"/>
        <v>0</v>
      </c>
      <c r="J27" s="28"/>
      <c r="K27" s="147"/>
      <c r="M27" s="2"/>
    </row>
    <row r="28" spans="2:13" ht="16.5" thickBot="1" x14ac:dyDescent="0.3">
      <c r="B28" s="29" t="s">
        <v>13</v>
      </c>
      <c r="C28" s="30"/>
      <c r="D28" s="120"/>
      <c r="E28" s="24">
        <v>0</v>
      </c>
      <c r="F28" s="31">
        <f t="shared" si="3"/>
        <v>0</v>
      </c>
      <c r="G28" s="32"/>
      <c r="H28" s="120"/>
      <c r="I28" s="27">
        <f t="shared" si="1"/>
        <v>0</v>
      </c>
      <c r="J28" s="28"/>
      <c r="K28" s="147"/>
      <c r="M28" s="2"/>
    </row>
    <row r="29" spans="2:13" ht="16.5" thickBot="1" x14ac:dyDescent="0.3">
      <c r="B29" s="67" t="s">
        <v>13</v>
      </c>
      <c r="C29" s="68" t="s">
        <v>97</v>
      </c>
      <c r="D29" s="120">
        <v>0</v>
      </c>
      <c r="E29" s="24">
        <v>0</v>
      </c>
      <c r="F29" s="31">
        <f t="shared" si="3"/>
        <v>0</v>
      </c>
      <c r="G29" s="32"/>
      <c r="H29" s="120">
        <v>0</v>
      </c>
      <c r="I29" s="27">
        <f t="shared" si="1"/>
        <v>0</v>
      </c>
      <c r="J29" s="28"/>
      <c r="K29" s="147"/>
      <c r="M29" s="2"/>
    </row>
    <row r="30" spans="2:13" ht="16.5" thickBot="1" x14ac:dyDescent="0.3">
      <c r="B30" s="33" t="s">
        <v>13</v>
      </c>
      <c r="C30" s="34" t="s">
        <v>34</v>
      </c>
      <c r="D30" s="120"/>
      <c r="E30" s="24">
        <v>0</v>
      </c>
      <c r="F30" s="35">
        <f t="shared" si="3"/>
        <v>0</v>
      </c>
      <c r="G30" s="65"/>
      <c r="H30" s="120"/>
      <c r="I30" s="27">
        <f t="shared" si="1"/>
        <v>0</v>
      </c>
      <c r="J30" s="28"/>
      <c r="K30" s="148"/>
      <c r="M30" s="2"/>
    </row>
    <row r="31" spans="2:13" ht="33.75" customHeight="1" thickBot="1" x14ac:dyDescent="0.3">
      <c r="B31" s="37">
        <v>13</v>
      </c>
      <c r="C31" s="38" t="s">
        <v>35</v>
      </c>
      <c r="D31" s="121">
        <v>0</v>
      </c>
      <c r="E31" s="24">
        <v>0</v>
      </c>
      <c r="F31" s="45">
        <f t="shared" si="3"/>
        <v>0</v>
      </c>
      <c r="G31" s="46" t="e">
        <f t="shared" si="0"/>
        <v>#DIV/0!</v>
      </c>
      <c r="H31" s="121">
        <v>0</v>
      </c>
      <c r="I31" s="17">
        <f t="shared" si="1"/>
        <v>0</v>
      </c>
      <c r="J31" s="21" t="e">
        <f t="shared" si="2"/>
        <v>#DIV/0!</v>
      </c>
      <c r="K31" s="66" t="s">
        <v>133</v>
      </c>
      <c r="M31" s="2"/>
    </row>
    <row r="32" spans="2:13" ht="32.25" thickBot="1" x14ac:dyDescent="0.3">
      <c r="B32" s="57">
        <v>14</v>
      </c>
      <c r="C32" s="58" t="s">
        <v>36</v>
      </c>
      <c r="D32" s="121">
        <f>D33+D34+D36+D37+D38+D35</f>
        <v>373600</v>
      </c>
      <c r="E32" s="24">
        <v>440977.04</v>
      </c>
      <c r="F32" s="59">
        <f t="shared" si="3"/>
        <v>-67377.039999999979</v>
      </c>
      <c r="G32" s="60">
        <f t="shared" si="0"/>
        <v>1.1803453961456103</v>
      </c>
      <c r="H32" s="121">
        <f>H33+H34+H36+H37+H38+H35</f>
        <v>450600</v>
      </c>
      <c r="I32" s="17">
        <f>H32-D32</f>
        <v>77000</v>
      </c>
      <c r="J32" s="21">
        <f>H32/D32</f>
        <v>1.20610278372591</v>
      </c>
      <c r="K32" s="66"/>
      <c r="M32" s="2"/>
    </row>
    <row r="33" spans="2:13" ht="16.5" thickBot="1" x14ac:dyDescent="0.3">
      <c r="B33" s="22" t="s">
        <v>13</v>
      </c>
      <c r="C33" s="23" t="s">
        <v>37</v>
      </c>
      <c r="D33" s="120">
        <v>50000</v>
      </c>
      <c r="E33" s="24">
        <v>81004</v>
      </c>
      <c r="F33" s="25">
        <f t="shared" si="3"/>
        <v>-31004</v>
      </c>
      <c r="G33" s="26">
        <f t="shared" si="0"/>
        <v>1.62008</v>
      </c>
      <c r="H33" s="120">
        <v>100000</v>
      </c>
      <c r="I33" s="27">
        <f t="shared" si="1"/>
        <v>50000</v>
      </c>
      <c r="J33" s="28">
        <f t="shared" si="2"/>
        <v>2</v>
      </c>
      <c r="K33" s="66"/>
      <c r="M33" s="2"/>
    </row>
    <row r="34" spans="2:13" ht="15.75" customHeight="1" thickBot="1" x14ac:dyDescent="0.3">
      <c r="B34" s="29" t="s">
        <v>13</v>
      </c>
      <c r="C34" s="30" t="s">
        <v>98</v>
      </c>
      <c r="D34" s="120">
        <v>220000</v>
      </c>
      <c r="E34" s="24">
        <v>263665</v>
      </c>
      <c r="F34" s="31">
        <f t="shared" si="3"/>
        <v>-43665</v>
      </c>
      <c r="G34" s="32">
        <f t="shared" si="0"/>
        <v>1.1984772727272728</v>
      </c>
      <c r="H34" s="120">
        <v>220000</v>
      </c>
      <c r="I34" s="27">
        <f t="shared" si="1"/>
        <v>0</v>
      </c>
      <c r="J34" s="28">
        <f t="shared" si="2"/>
        <v>1</v>
      </c>
      <c r="K34" s="144" t="s">
        <v>69</v>
      </c>
      <c r="M34" s="2"/>
    </row>
    <row r="35" spans="2:13" ht="15.75" customHeight="1" thickBot="1" x14ac:dyDescent="0.3">
      <c r="B35" s="29" t="s">
        <v>13</v>
      </c>
      <c r="C35" s="30" t="s">
        <v>99</v>
      </c>
      <c r="D35" s="120">
        <v>50000</v>
      </c>
      <c r="E35" s="24">
        <v>36086</v>
      </c>
      <c r="F35" s="31"/>
      <c r="G35" s="32"/>
      <c r="H35" s="120">
        <v>57000</v>
      </c>
      <c r="I35" s="27"/>
      <c r="J35" s="28">
        <f t="shared" si="2"/>
        <v>1.1399999999999999</v>
      </c>
      <c r="K35" s="144" t="s">
        <v>140</v>
      </c>
      <c r="M35" s="2"/>
    </row>
    <row r="36" spans="2:13" ht="16.5" thickBot="1" x14ac:dyDescent="0.3">
      <c r="B36" s="29" t="s">
        <v>13</v>
      </c>
      <c r="C36" s="30" t="s">
        <v>38</v>
      </c>
      <c r="D36" s="120">
        <v>20000</v>
      </c>
      <c r="E36" s="24">
        <v>32500</v>
      </c>
      <c r="F36" s="31">
        <f t="shared" si="3"/>
        <v>-12500</v>
      </c>
      <c r="G36" s="32">
        <f t="shared" si="0"/>
        <v>1.625</v>
      </c>
      <c r="H36" s="120">
        <v>40000</v>
      </c>
      <c r="I36" s="27">
        <f t="shared" si="1"/>
        <v>20000</v>
      </c>
      <c r="J36" s="28">
        <f t="shared" si="2"/>
        <v>2</v>
      </c>
      <c r="K36" s="66"/>
      <c r="M36" s="2"/>
    </row>
    <row r="37" spans="2:13" ht="34.5" customHeight="1" thickBot="1" x14ac:dyDescent="0.3">
      <c r="B37" s="29" t="s">
        <v>13</v>
      </c>
      <c r="C37" s="30" t="s">
        <v>39</v>
      </c>
      <c r="D37" s="120">
        <v>25000</v>
      </c>
      <c r="E37" s="24">
        <v>19122.04</v>
      </c>
      <c r="F37" s="31">
        <f t="shared" si="3"/>
        <v>5877.9599999999991</v>
      </c>
      <c r="G37" s="32">
        <f t="shared" si="0"/>
        <v>0.76488160000000005</v>
      </c>
      <c r="H37" s="120">
        <v>25000</v>
      </c>
      <c r="I37" s="27">
        <f t="shared" si="1"/>
        <v>0</v>
      </c>
      <c r="J37" s="28">
        <f t="shared" si="2"/>
        <v>1</v>
      </c>
      <c r="K37" s="66" t="s">
        <v>133</v>
      </c>
      <c r="M37" s="2"/>
    </row>
    <row r="38" spans="2:13" ht="16.5" thickBot="1" x14ac:dyDescent="0.3">
      <c r="B38" s="33" t="s">
        <v>13</v>
      </c>
      <c r="C38" s="34" t="s">
        <v>40</v>
      </c>
      <c r="D38" s="120">
        <v>8600</v>
      </c>
      <c r="E38" s="24">
        <v>8600</v>
      </c>
      <c r="F38" s="35">
        <f t="shared" si="3"/>
        <v>0</v>
      </c>
      <c r="G38" s="65">
        <f t="shared" si="0"/>
        <v>1</v>
      </c>
      <c r="H38" s="120">
        <v>8600</v>
      </c>
      <c r="I38" s="27">
        <f t="shared" si="1"/>
        <v>0</v>
      </c>
      <c r="J38" s="28">
        <f t="shared" si="2"/>
        <v>1</v>
      </c>
      <c r="K38" s="66" t="s">
        <v>133</v>
      </c>
      <c r="M38" s="2"/>
    </row>
    <row r="39" spans="2:13" ht="33.75" customHeight="1" thickBot="1" x14ac:dyDescent="0.3">
      <c r="B39" s="69">
        <v>15</v>
      </c>
      <c r="C39" s="70" t="s">
        <v>41</v>
      </c>
      <c r="D39" s="121">
        <f>D40+D41</f>
        <v>240000</v>
      </c>
      <c r="E39" s="24">
        <v>197589.83000000002</v>
      </c>
      <c r="F39" s="19">
        <f t="shared" si="3"/>
        <v>42410.169999999984</v>
      </c>
      <c r="G39" s="20">
        <f t="shared" si="0"/>
        <v>0.82329095833333343</v>
      </c>
      <c r="H39" s="121">
        <f>H40+H41</f>
        <v>210000</v>
      </c>
      <c r="I39" s="17">
        <f t="shared" si="1"/>
        <v>-30000</v>
      </c>
      <c r="J39" s="21">
        <f t="shared" si="2"/>
        <v>0.875</v>
      </c>
      <c r="K39" s="71"/>
      <c r="M39" s="2"/>
    </row>
    <row r="40" spans="2:13" ht="16.5" thickBot="1" x14ac:dyDescent="0.3">
      <c r="B40" s="22" t="s">
        <v>13</v>
      </c>
      <c r="C40" s="23" t="s">
        <v>42</v>
      </c>
      <c r="D40" s="120">
        <v>120000</v>
      </c>
      <c r="E40" s="24">
        <v>117647.41</v>
      </c>
      <c r="F40" s="25">
        <f t="shared" si="3"/>
        <v>2352.5899999999965</v>
      </c>
      <c r="G40" s="26">
        <f t="shared" si="0"/>
        <v>0.98039508333333336</v>
      </c>
      <c r="H40" s="120">
        <v>120000</v>
      </c>
      <c r="I40" s="27">
        <f t="shared" si="1"/>
        <v>0</v>
      </c>
      <c r="J40" s="28">
        <f t="shared" si="2"/>
        <v>1</v>
      </c>
      <c r="K40" s="72"/>
      <c r="M40" s="2"/>
    </row>
    <row r="41" spans="2:13" ht="27.75" customHeight="1" thickBot="1" x14ac:dyDescent="0.3">
      <c r="B41" s="33" t="s">
        <v>13</v>
      </c>
      <c r="C41" s="34" t="s">
        <v>43</v>
      </c>
      <c r="D41" s="120">
        <v>120000</v>
      </c>
      <c r="E41" s="24">
        <v>79942.42</v>
      </c>
      <c r="F41" s="35">
        <f t="shared" si="3"/>
        <v>40057.58</v>
      </c>
      <c r="G41" s="65">
        <f t="shared" si="0"/>
        <v>0.66618683333333328</v>
      </c>
      <c r="H41" s="120">
        <v>90000</v>
      </c>
      <c r="I41" s="27">
        <f t="shared" si="1"/>
        <v>-30000</v>
      </c>
      <c r="J41" s="28">
        <f t="shared" si="2"/>
        <v>0.75</v>
      </c>
      <c r="K41" s="73"/>
      <c r="M41" s="2"/>
    </row>
    <row r="42" spans="2:13" ht="16.5" thickBot="1" x14ac:dyDescent="0.3">
      <c r="B42" s="37">
        <v>16</v>
      </c>
      <c r="C42" s="38" t="s">
        <v>44</v>
      </c>
      <c r="D42" s="121">
        <v>150000</v>
      </c>
      <c r="E42" s="24">
        <v>146243.07</v>
      </c>
      <c r="F42" s="45">
        <f t="shared" si="3"/>
        <v>3756.929999999993</v>
      </c>
      <c r="G42" s="46">
        <f t="shared" si="0"/>
        <v>0.97495380000000009</v>
      </c>
      <c r="H42" s="121">
        <v>150000</v>
      </c>
      <c r="I42" s="17">
        <f t="shared" si="1"/>
        <v>0</v>
      </c>
      <c r="J42" s="21">
        <f t="shared" si="2"/>
        <v>1</v>
      </c>
      <c r="K42" s="74"/>
      <c r="M42" s="2"/>
    </row>
    <row r="43" spans="2:13" ht="28.5" customHeight="1" thickBot="1" x14ac:dyDescent="0.3">
      <c r="B43" s="51">
        <v>17</v>
      </c>
      <c r="C43" s="52" t="s">
        <v>45</v>
      </c>
      <c r="D43" s="121">
        <v>200000</v>
      </c>
      <c r="E43" s="24">
        <v>159890.49</v>
      </c>
      <c r="F43" s="49">
        <f t="shared" si="3"/>
        <v>40109.510000000009</v>
      </c>
      <c r="G43" s="50">
        <f t="shared" si="0"/>
        <v>0.79945244999999998</v>
      </c>
      <c r="H43" s="121">
        <v>320000</v>
      </c>
      <c r="I43" s="17">
        <f t="shared" si="1"/>
        <v>120000</v>
      </c>
      <c r="J43" s="21">
        <f t="shared" si="2"/>
        <v>1.6</v>
      </c>
      <c r="K43" s="66" t="s">
        <v>135</v>
      </c>
      <c r="M43" s="2"/>
    </row>
    <row r="44" spans="2:13" ht="16.5" thickBot="1" x14ac:dyDescent="0.3">
      <c r="B44" s="75">
        <v>18</v>
      </c>
      <c r="C44" s="48" t="s">
        <v>46</v>
      </c>
      <c r="D44" s="121">
        <f>284674*12</f>
        <v>3416088</v>
      </c>
      <c r="E44" s="24">
        <v>3416088</v>
      </c>
      <c r="F44" s="49">
        <f t="shared" si="3"/>
        <v>0</v>
      </c>
      <c r="G44" s="50">
        <f t="shared" si="0"/>
        <v>1</v>
      </c>
      <c r="H44" s="121">
        <v>3757896</v>
      </c>
      <c r="I44" s="76">
        <f t="shared" si="1"/>
        <v>341808</v>
      </c>
      <c r="J44" s="77">
        <f t="shared" si="2"/>
        <v>1.1000583123151395</v>
      </c>
      <c r="K44" s="74" t="s">
        <v>132</v>
      </c>
      <c r="M44" s="2"/>
    </row>
    <row r="45" spans="2:13" ht="16.5" thickBot="1" x14ac:dyDescent="0.3">
      <c r="B45" s="78">
        <v>19</v>
      </c>
      <c r="C45" s="79" t="s">
        <v>47</v>
      </c>
      <c r="D45" s="121">
        <f>12387.12+35040</f>
        <v>47427.12</v>
      </c>
      <c r="E45" s="80">
        <v>47427.12</v>
      </c>
      <c r="F45" s="81">
        <f t="shared" si="3"/>
        <v>0</v>
      </c>
      <c r="G45" s="82">
        <f t="shared" si="0"/>
        <v>1</v>
      </c>
      <c r="H45" s="121">
        <f>14472+35040</f>
        <v>49512</v>
      </c>
      <c r="I45" s="17">
        <f t="shared" si="1"/>
        <v>2084.8799999999974</v>
      </c>
      <c r="J45" s="21">
        <f t="shared" si="2"/>
        <v>1.0439596585244897</v>
      </c>
      <c r="K45" s="74" t="s">
        <v>134</v>
      </c>
      <c r="M45" s="2"/>
    </row>
    <row r="46" spans="2:13" x14ac:dyDescent="0.25">
      <c r="B46" s="57">
        <v>20</v>
      </c>
      <c r="C46" s="58" t="s">
        <v>48</v>
      </c>
      <c r="D46" s="122"/>
      <c r="E46" s="83">
        <v>6000</v>
      </c>
      <c r="F46" s="59">
        <f t="shared" si="3"/>
        <v>-6000</v>
      </c>
      <c r="G46" s="60"/>
      <c r="H46" s="122"/>
      <c r="I46" s="84">
        <f t="shared" si="1"/>
        <v>0</v>
      </c>
      <c r="J46" s="85"/>
      <c r="K46" s="86"/>
      <c r="M46" s="2"/>
    </row>
    <row r="47" spans="2:13" ht="31.5" x14ac:dyDescent="0.25">
      <c r="B47" s="87">
        <v>21</v>
      </c>
      <c r="C47" s="30" t="s">
        <v>49</v>
      </c>
      <c r="D47" s="121">
        <v>12000</v>
      </c>
      <c r="E47" s="88">
        <v>26539.82</v>
      </c>
      <c r="F47" s="89">
        <f t="shared" si="3"/>
        <v>-14539.82</v>
      </c>
      <c r="G47" s="90">
        <f t="shared" si="0"/>
        <v>2.2116516666666666</v>
      </c>
      <c r="H47" s="121">
        <v>30000</v>
      </c>
      <c r="I47" s="44">
        <f>H47-D47</f>
        <v>18000</v>
      </c>
      <c r="J47" s="91">
        <f>H47/D47</f>
        <v>2.5</v>
      </c>
      <c r="K47" s="66" t="s">
        <v>127</v>
      </c>
      <c r="M47" s="2"/>
    </row>
    <row r="48" spans="2:13" x14ac:dyDescent="0.25">
      <c r="C48" s="94" t="s">
        <v>50</v>
      </c>
      <c r="D48" s="95">
        <v>16400</v>
      </c>
      <c r="E48" s="95"/>
      <c r="F48" s="96"/>
      <c r="G48" s="96"/>
      <c r="H48" s="97"/>
      <c r="I48" s="92"/>
      <c r="J48" s="92"/>
      <c r="K48" s="93"/>
    </row>
    <row r="49" spans="3:11" x14ac:dyDescent="0.25">
      <c r="C49" s="98"/>
      <c r="D49" s="123">
        <v>53.44</v>
      </c>
      <c r="E49" s="1" t="s">
        <v>88</v>
      </c>
      <c r="F49" s="92"/>
      <c r="G49" s="92"/>
      <c r="H49" s="143">
        <f>H4/19677.1/12</f>
        <v>59.413622466725279</v>
      </c>
      <c r="I49" s="92"/>
      <c r="J49" s="92"/>
      <c r="K49" s="92"/>
    </row>
    <row r="50" spans="3:11" x14ac:dyDescent="0.25">
      <c r="H50" s="124">
        <v>59.41</v>
      </c>
      <c r="I50" s="1" t="s">
        <v>87</v>
      </c>
    </row>
    <row r="51" spans="3:11" x14ac:dyDescent="0.25">
      <c r="C51" s="99"/>
      <c r="H51" s="124">
        <f>H50*100/D49-100</f>
        <v>11.171407185628752</v>
      </c>
      <c r="I51" s="1" t="s">
        <v>89</v>
      </c>
    </row>
    <row r="52" spans="3:11" x14ac:dyDescent="0.25">
      <c r="C52" s="99"/>
      <c r="H52" s="124"/>
    </row>
    <row r="53" spans="3:11" x14ac:dyDescent="0.25">
      <c r="C53" s="99"/>
      <c r="H53" s="124"/>
    </row>
    <row r="54" spans="3:11" x14ac:dyDescent="0.25">
      <c r="C54" s="125" t="s">
        <v>141</v>
      </c>
      <c r="D54" s="125" t="s">
        <v>90</v>
      </c>
    </row>
    <row r="55" spans="3:11" x14ac:dyDescent="0.25">
      <c r="C55" s="125" t="s">
        <v>91</v>
      </c>
      <c r="D55" s="126">
        <v>0</v>
      </c>
    </row>
    <row r="56" spans="3:11" x14ac:dyDescent="0.25">
      <c r="C56" s="125" t="s">
        <v>92</v>
      </c>
      <c r="D56" s="126">
        <v>550360.69999999995</v>
      </c>
      <c r="E56" s="145"/>
    </row>
    <row r="57" spans="3:11" x14ac:dyDescent="0.25">
      <c r="C57" s="125" t="s">
        <v>93</v>
      </c>
      <c r="D57" s="126">
        <v>280000</v>
      </c>
      <c r="E57" s="145"/>
    </row>
    <row r="58" spans="3:11" x14ac:dyDescent="0.25">
      <c r="C58" s="125" t="s">
        <v>94</v>
      </c>
      <c r="D58" s="126">
        <v>22000</v>
      </c>
      <c r="E58" s="145"/>
    </row>
    <row r="59" spans="3:11" x14ac:dyDescent="0.25">
      <c r="C59" s="125"/>
      <c r="D59" s="126">
        <f>SUM(D55:D58)</f>
        <v>852360.7</v>
      </c>
    </row>
  </sheetData>
  <mergeCells count="11">
    <mergeCell ref="B2:C3"/>
    <mergeCell ref="D2:E2"/>
    <mergeCell ref="F2:G2"/>
    <mergeCell ref="I2:J2"/>
    <mergeCell ref="K2:K4"/>
    <mergeCell ref="B4:C4"/>
    <mergeCell ref="E56:E58"/>
    <mergeCell ref="K5:K8"/>
    <mergeCell ref="K10:K11"/>
    <mergeCell ref="K19:K24"/>
    <mergeCell ref="K26:K30"/>
  </mergeCells>
  <pageMargins left="0.23622047244094491" right="0.23622047244094491" top="0.35433070866141736" bottom="0.35433070866141736" header="0" footer="0"/>
  <pageSetup paperSize="9" scale="4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2CF8A-A5A2-41AB-9ACA-BDAC941C81AB}">
  <dimension ref="A2:K14"/>
  <sheetViews>
    <sheetView workbookViewId="0">
      <selection activeCell="E13" sqref="E13"/>
    </sheetView>
  </sheetViews>
  <sheetFormatPr defaultRowHeight="15" x14ac:dyDescent="0.25"/>
  <cols>
    <col min="1" max="1" width="29.85546875" customWidth="1"/>
    <col min="2" max="2" width="14.85546875" bestFit="1" customWidth="1"/>
    <col min="3" max="3" width="14.140625" customWidth="1"/>
    <col min="4" max="4" width="13.140625" bestFit="1" customWidth="1"/>
    <col min="5" max="5" width="14.5703125" bestFit="1" customWidth="1"/>
    <col min="6" max="6" width="14" customWidth="1"/>
    <col min="7" max="7" width="17.7109375" bestFit="1" customWidth="1"/>
    <col min="8" max="8" width="13.140625" bestFit="1" customWidth="1"/>
    <col min="9" max="9" width="12" bestFit="1" customWidth="1"/>
    <col min="10" max="10" width="14.140625" customWidth="1"/>
    <col min="11" max="11" width="14.5703125" bestFit="1" customWidth="1"/>
  </cols>
  <sheetData>
    <row r="2" spans="1:11" x14ac:dyDescent="0.25">
      <c r="A2" t="s">
        <v>119</v>
      </c>
    </row>
    <row r="4" spans="1:11" ht="30" x14ac:dyDescent="0.25">
      <c r="A4" s="101" t="s">
        <v>51</v>
      </c>
      <c r="B4" s="101" t="s">
        <v>52</v>
      </c>
      <c r="C4" s="110" t="s">
        <v>122</v>
      </c>
      <c r="D4" s="101" t="s">
        <v>76</v>
      </c>
      <c r="E4" s="101" t="s">
        <v>77</v>
      </c>
      <c r="F4" s="100" t="s">
        <v>123</v>
      </c>
      <c r="G4" s="101" t="s">
        <v>121</v>
      </c>
      <c r="H4" s="101" t="s">
        <v>76</v>
      </c>
      <c r="I4" s="110" t="s">
        <v>120</v>
      </c>
      <c r="J4" s="100" t="s">
        <v>124</v>
      </c>
      <c r="K4" s="100" t="s">
        <v>78</v>
      </c>
    </row>
    <row r="5" spans="1:11" x14ac:dyDescent="0.25">
      <c r="A5" s="101" t="s">
        <v>79</v>
      </c>
      <c r="B5" s="101" t="s">
        <v>80</v>
      </c>
      <c r="C5" s="111">
        <v>18000</v>
      </c>
      <c r="D5" s="111">
        <v>2340</v>
      </c>
      <c r="E5" s="112">
        <f>C5-D5</f>
        <v>15660</v>
      </c>
      <c r="F5" s="112"/>
      <c r="G5" s="111">
        <v>21680</v>
      </c>
      <c r="H5" s="113">
        <v>2818</v>
      </c>
      <c r="I5" s="112">
        <f>G5-H5</f>
        <v>18862</v>
      </c>
      <c r="J5" s="112"/>
      <c r="K5" s="112">
        <f>J5+I5-E5-F5</f>
        <v>3202</v>
      </c>
    </row>
    <row r="6" spans="1:11" x14ac:dyDescent="0.25">
      <c r="A6" s="161" t="s">
        <v>81</v>
      </c>
      <c r="B6" s="161"/>
      <c r="C6" s="112">
        <f>(C5)*12+10000+F5</f>
        <v>226000</v>
      </c>
      <c r="D6" s="112"/>
      <c r="E6" s="112"/>
      <c r="F6" s="112"/>
      <c r="G6" s="112">
        <f>(G5)*12+J5+E13</f>
        <v>289647.84000000003</v>
      </c>
      <c r="H6" s="112"/>
      <c r="I6" s="112"/>
      <c r="J6" s="112"/>
      <c r="K6" s="112"/>
    </row>
    <row r="7" spans="1:11" x14ac:dyDescent="0.25">
      <c r="A7" s="162" t="s">
        <v>82</v>
      </c>
      <c r="B7" s="162"/>
      <c r="C7" s="112">
        <f>C6*0.302</f>
        <v>68252</v>
      </c>
      <c r="D7" s="101"/>
      <c r="E7" s="101"/>
      <c r="F7" s="101"/>
      <c r="G7" s="112">
        <f>(G6)*0.302</f>
        <v>87473.647680000009</v>
      </c>
      <c r="H7" s="101"/>
      <c r="I7" s="101"/>
      <c r="J7" s="101"/>
      <c r="K7" s="112"/>
    </row>
    <row r="8" spans="1:11" x14ac:dyDescent="0.25">
      <c r="A8" s="162" t="s">
        <v>83</v>
      </c>
      <c r="B8" s="162"/>
      <c r="C8" s="114">
        <f>C6+C7</f>
        <v>294252</v>
      </c>
      <c r="D8" s="101"/>
      <c r="E8" s="101"/>
      <c r="F8" s="101"/>
      <c r="G8" s="115">
        <f>G6+G7</f>
        <v>377121.48768000002</v>
      </c>
      <c r="H8" s="101"/>
      <c r="I8" s="101"/>
      <c r="J8" s="112"/>
      <c r="K8" s="112">
        <f>G8-C8</f>
        <v>82869.48768000002</v>
      </c>
    </row>
    <row r="9" spans="1:11" x14ac:dyDescent="0.25">
      <c r="A9" s="101" t="s">
        <v>84</v>
      </c>
      <c r="B9" s="101"/>
      <c r="C9" s="101"/>
      <c r="D9" s="101"/>
      <c r="E9" s="101"/>
      <c r="F9" s="101"/>
      <c r="G9" s="103">
        <f>G8</f>
        <v>377121.48768000002</v>
      </c>
      <c r="H9" s="101"/>
      <c r="I9" s="101"/>
      <c r="J9" s="101"/>
      <c r="K9" s="102">
        <f>G9-C8</f>
        <v>82869.48768000002</v>
      </c>
    </row>
    <row r="11" spans="1:11" x14ac:dyDescent="0.25">
      <c r="A11" t="s">
        <v>85</v>
      </c>
    </row>
    <row r="12" spans="1:11" ht="75" x14ac:dyDescent="0.25">
      <c r="A12" s="101" t="s">
        <v>51</v>
      </c>
      <c r="B12" s="101" t="s">
        <v>52</v>
      </c>
      <c r="C12" s="100" t="s">
        <v>125</v>
      </c>
      <c r="D12" s="116" t="s">
        <v>86</v>
      </c>
      <c r="E12" s="101"/>
      <c r="F12" s="142"/>
      <c r="G12" s="108"/>
    </row>
    <row r="13" spans="1:11" x14ac:dyDescent="0.25">
      <c r="A13" s="101" t="s">
        <v>79</v>
      </c>
      <c r="B13" s="101" t="s">
        <v>80</v>
      </c>
      <c r="C13" s="101">
        <v>48</v>
      </c>
      <c r="D13" s="117">
        <v>614.33000000000004</v>
      </c>
      <c r="E13" s="102">
        <f>C13*D13</f>
        <v>29487.840000000004</v>
      </c>
      <c r="F13" s="109"/>
      <c r="G13" s="109"/>
    </row>
    <row r="14" spans="1:11" x14ac:dyDescent="0.25">
      <c r="A14" s="118" t="s">
        <v>64</v>
      </c>
      <c r="E14" s="107"/>
    </row>
  </sheetData>
  <mergeCells count="3">
    <mergeCell ref="A6:B6"/>
    <mergeCell ref="A7:B7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A592-3CFF-44AE-9415-646E8DEC0442}">
  <sheetPr>
    <pageSetUpPr fitToPage="1"/>
  </sheetPr>
  <dimension ref="A1:J2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0" sqref="F10"/>
    </sheetView>
  </sheetViews>
  <sheetFormatPr defaultRowHeight="15" x14ac:dyDescent="0.25"/>
  <cols>
    <col min="1" max="1" width="15.85546875" customWidth="1"/>
    <col min="2" max="2" width="27" customWidth="1"/>
    <col min="3" max="3" width="14.5703125" bestFit="1" customWidth="1"/>
    <col min="4" max="4" width="13.140625" customWidth="1"/>
    <col min="5" max="5" width="15.28515625" customWidth="1"/>
    <col min="6" max="6" width="13.140625" customWidth="1"/>
    <col min="7" max="7" width="15.28515625" customWidth="1"/>
    <col min="8" max="9" width="13" customWidth="1"/>
    <col min="10" max="10" width="9.5703125" bestFit="1" customWidth="1"/>
  </cols>
  <sheetData>
    <row r="1" spans="1:10" x14ac:dyDescent="0.25">
      <c r="A1" t="s">
        <v>68</v>
      </c>
    </row>
    <row r="3" spans="1:10" ht="120" x14ac:dyDescent="0.25">
      <c r="A3" s="100" t="s">
        <v>51</v>
      </c>
      <c r="B3" s="100" t="s">
        <v>52</v>
      </c>
      <c r="C3" s="100" t="s">
        <v>71</v>
      </c>
      <c r="D3" s="100" t="s">
        <v>72</v>
      </c>
      <c r="E3" s="100" t="s">
        <v>117</v>
      </c>
      <c r="F3" s="100" t="s">
        <v>118</v>
      </c>
      <c r="G3" s="100" t="s">
        <v>96</v>
      </c>
      <c r="H3" s="100" t="s">
        <v>53</v>
      </c>
      <c r="I3" s="106" t="s">
        <v>73</v>
      </c>
      <c r="J3" s="106" t="s">
        <v>74</v>
      </c>
    </row>
    <row r="4" spans="1:10" x14ac:dyDescent="0.25">
      <c r="A4" s="101" t="s">
        <v>54</v>
      </c>
      <c r="B4" s="101" t="s">
        <v>55</v>
      </c>
      <c r="C4" s="102">
        <v>124000</v>
      </c>
      <c r="D4" s="102">
        <v>115000</v>
      </c>
      <c r="E4" s="102">
        <v>136400</v>
      </c>
      <c r="F4" s="102">
        <v>126500</v>
      </c>
      <c r="G4" s="102">
        <f>E4-C4</f>
        <v>12400</v>
      </c>
      <c r="H4" s="102">
        <f>F4-D4</f>
        <v>11500</v>
      </c>
      <c r="I4" s="102">
        <f>(E4*100)/C4-100</f>
        <v>10</v>
      </c>
      <c r="J4" s="102">
        <f>(F4*100)/D4-100</f>
        <v>10</v>
      </c>
    </row>
    <row r="5" spans="1:10" x14ac:dyDescent="0.25">
      <c r="A5" s="101" t="s">
        <v>56</v>
      </c>
      <c r="B5" s="101" t="s">
        <v>57</v>
      </c>
      <c r="C5" s="102">
        <v>99700</v>
      </c>
      <c r="D5" s="102">
        <v>92400</v>
      </c>
      <c r="E5" s="102">
        <v>109670</v>
      </c>
      <c r="F5" s="102">
        <v>101640</v>
      </c>
      <c r="G5" s="102">
        <f t="shared" ref="G5:G10" si="0">E5-C5</f>
        <v>9970</v>
      </c>
      <c r="H5" s="102">
        <f t="shared" ref="H5:H10" si="1">F5-D5</f>
        <v>9240</v>
      </c>
      <c r="I5" s="102">
        <f t="shared" ref="I5:I10" si="2">(E5*100)/C5-100</f>
        <v>10</v>
      </c>
      <c r="J5" s="102">
        <f t="shared" ref="J5:J10" si="3">(F5*100)/D5-100</f>
        <v>10</v>
      </c>
    </row>
    <row r="6" spans="1:10" x14ac:dyDescent="0.25">
      <c r="A6" s="101" t="s">
        <v>58</v>
      </c>
      <c r="B6" s="101" t="s">
        <v>59</v>
      </c>
      <c r="C6" s="102">
        <v>99700</v>
      </c>
      <c r="D6" s="102">
        <v>92400</v>
      </c>
      <c r="E6" s="102">
        <v>109670</v>
      </c>
      <c r="F6" s="102">
        <v>101640</v>
      </c>
      <c r="G6" s="102">
        <f t="shared" si="0"/>
        <v>9970</v>
      </c>
      <c r="H6" s="102">
        <f t="shared" si="1"/>
        <v>9240</v>
      </c>
      <c r="I6" s="102">
        <f t="shared" si="2"/>
        <v>10</v>
      </c>
      <c r="J6" s="102">
        <f t="shared" si="3"/>
        <v>10</v>
      </c>
    </row>
    <row r="7" spans="1:10" x14ac:dyDescent="0.25">
      <c r="A7" s="101" t="s">
        <v>60</v>
      </c>
      <c r="B7" s="101"/>
      <c r="C7" s="102">
        <v>75900</v>
      </c>
      <c r="D7" s="102">
        <v>70200</v>
      </c>
      <c r="E7" s="102">
        <v>83490</v>
      </c>
      <c r="F7" s="102">
        <v>77220</v>
      </c>
      <c r="G7" s="102">
        <f t="shared" si="0"/>
        <v>7590</v>
      </c>
      <c r="H7" s="102">
        <f t="shared" si="1"/>
        <v>7020</v>
      </c>
      <c r="I7" s="102">
        <f t="shared" si="2"/>
        <v>10</v>
      </c>
      <c r="J7" s="102">
        <f t="shared" si="3"/>
        <v>10</v>
      </c>
    </row>
    <row r="8" spans="1:10" x14ac:dyDescent="0.25">
      <c r="A8" s="101" t="s">
        <v>61</v>
      </c>
      <c r="B8" s="101" t="s">
        <v>62</v>
      </c>
      <c r="C8" s="102">
        <v>75000</v>
      </c>
      <c r="D8" s="102">
        <v>67700</v>
      </c>
      <c r="E8" s="102">
        <v>82500</v>
      </c>
      <c r="F8" s="102">
        <v>74470</v>
      </c>
      <c r="G8" s="102">
        <f t="shared" si="0"/>
        <v>7500</v>
      </c>
      <c r="H8" s="102">
        <f t="shared" si="1"/>
        <v>6770</v>
      </c>
      <c r="I8" s="102">
        <f t="shared" si="2"/>
        <v>10</v>
      </c>
      <c r="J8" s="102">
        <f t="shared" si="3"/>
        <v>10</v>
      </c>
    </row>
    <row r="9" spans="1:10" x14ac:dyDescent="0.25">
      <c r="A9" s="101" t="s">
        <v>63</v>
      </c>
      <c r="B9" s="101"/>
      <c r="C9" s="102">
        <v>16300</v>
      </c>
      <c r="D9" s="102">
        <v>15000</v>
      </c>
      <c r="E9" s="102">
        <v>18550</v>
      </c>
      <c r="F9" s="102">
        <v>17250</v>
      </c>
      <c r="G9" s="102">
        <f t="shared" si="0"/>
        <v>2250</v>
      </c>
      <c r="H9" s="102">
        <f t="shared" si="1"/>
        <v>2250</v>
      </c>
      <c r="I9" s="102">
        <f t="shared" si="2"/>
        <v>13.803680981595093</v>
      </c>
      <c r="J9" s="102">
        <f t="shared" si="3"/>
        <v>15</v>
      </c>
    </row>
    <row r="10" spans="1:10" x14ac:dyDescent="0.25">
      <c r="A10" s="163" t="s">
        <v>64</v>
      </c>
      <c r="B10" s="163"/>
      <c r="C10" s="102">
        <f>SUM(C4:C9)</f>
        <v>490600</v>
      </c>
      <c r="D10" s="102">
        <f>SUM(D4:D9)</f>
        <v>452700</v>
      </c>
      <c r="E10" s="102">
        <f>SUM(E4:E9)</f>
        <v>540280</v>
      </c>
      <c r="F10" s="102">
        <f>SUM(F4:F9)</f>
        <v>498720</v>
      </c>
      <c r="G10" s="102">
        <f t="shared" si="0"/>
        <v>49680</v>
      </c>
      <c r="H10" s="102">
        <f t="shared" si="1"/>
        <v>46020</v>
      </c>
      <c r="I10" s="102">
        <f t="shared" si="2"/>
        <v>10.126375866286182</v>
      </c>
      <c r="J10" s="102">
        <f t="shared" si="3"/>
        <v>10.165672630881375</v>
      </c>
    </row>
    <row r="11" spans="1:10" x14ac:dyDescent="0.25">
      <c r="A11" s="161" t="s">
        <v>65</v>
      </c>
      <c r="B11" s="161"/>
      <c r="C11" s="103">
        <f>C10*13</f>
        <v>6377800</v>
      </c>
      <c r="D11" s="102"/>
      <c r="E11" s="103">
        <f>E10*13</f>
        <v>7023640</v>
      </c>
      <c r="F11" s="102"/>
      <c r="G11" s="102"/>
      <c r="H11" s="102"/>
      <c r="I11" s="102"/>
      <c r="J11" s="102"/>
    </row>
    <row r="12" spans="1:10" x14ac:dyDescent="0.25">
      <c r="A12" s="101" t="s">
        <v>66</v>
      </c>
      <c r="B12" s="101"/>
      <c r="C12" s="104">
        <v>61162</v>
      </c>
      <c r="D12" s="101"/>
      <c r="E12" s="104">
        <v>122284</v>
      </c>
      <c r="F12" s="101"/>
      <c r="G12" s="101"/>
      <c r="H12" s="101"/>
      <c r="I12" s="102"/>
      <c r="J12" s="102"/>
    </row>
    <row r="13" spans="1:10" x14ac:dyDescent="0.25">
      <c r="A13" s="105" t="s">
        <v>67</v>
      </c>
      <c r="B13" s="101"/>
      <c r="C13" s="102">
        <f>C11+C12</f>
        <v>6438962</v>
      </c>
      <c r="D13" s="101"/>
      <c r="E13" s="102">
        <f>E11+E12</f>
        <v>7145924</v>
      </c>
      <c r="F13" s="101"/>
      <c r="G13" s="102">
        <f>E13-C13</f>
        <v>706962</v>
      </c>
      <c r="H13" s="102"/>
      <c r="I13" s="102">
        <f>(E13*100)/C13-100</f>
        <v>10.979440475033087</v>
      </c>
      <c r="J13" s="102"/>
    </row>
    <row r="15" spans="1:10" x14ac:dyDescent="0.25">
      <c r="E15" s="107">
        <f>E10*12+E12</f>
        <v>6605644</v>
      </c>
    </row>
    <row r="17" spans="3:3" x14ac:dyDescent="0.25">
      <c r="C17" s="108"/>
    </row>
    <row r="18" spans="3:3" x14ac:dyDescent="0.25">
      <c r="C18" s="108"/>
    </row>
    <row r="19" spans="3:3" x14ac:dyDescent="0.25">
      <c r="C19" s="108"/>
    </row>
    <row r="20" spans="3:3" x14ac:dyDescent="0.25">
      <c r="C20" s="109"/>
    </row>
    <row r="21" spans="3:3" x14ac:dyDescent="0.25">
      <c r="C21" s="108"/>
    </row>
    <row r="22" spans="3:3" x14ac:dyDescent="0.25">
      <c r="C22" s="108"/>
    </row>
    <row r="23" spans="3:3" x14ac:dyDescent="0.25">
      <c r="C23" s="108"/>
    </row>
    <row r="24" spans="3:3" x14ac:dyDescent="0.25">
      <c r="C24" s="108"/>
    </row>
    <row r="25" spans="3:3" x14ac:dyDescent="0.25">
      <c r="C25" s="108"/>
    </row>
  </sheetData>
  <mergeCells count="2"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5EDD-3BE1-4994-9387-170A1DA8AE83}">
  <dimension ref="A2:Q28"/>
  <sheetViews>
    <sheetView topLeftCell="A2" workbookViewId="0">
      <selection activeCell="O21" sqref="O21"/>
    </sheetView>
  </sheetViews>
  <sheetFormatPr defaultRowHeight="15" x14ac:dyDescent="0.25"/>
  <cols>
    <col min="1" max="1" width="34.42578125" style="128" bestFit="1" customWidth="1"/>
    <col min="2" max="3" width="11.28515625" style="128" bestFit="1" customWidth="1"/>
    <col min="4" max="4" width="12" style="128" customWidth="1"/>
    <col min="5" max="5" width="11.28515625" style="128" bestFit="1" customWidth="1"/>
    <col min="6" max="6" width="12" style="128" customWidth="1"/>
    <col min="7" max="7" width="12.5703125" style="128" customWidth="1"/>
    <col min="8" max="9" width="11.5703125" style="128" bestFit="1" customWidth="1"/>
    <col min="10" max="10" width="13.140625" style="128" customWidth="1"/>
    <col min="11" max="11" width="11.28515625" style="128" bestFit="1" customWidth="1"/>
    <col min="12" max="12" width="11.85546875" style="128" bestFit="1" customWidth="1"/>
    <col min="13" max="13" width="12.42578125" style="128" customWidth="1"/>
    <col min="14" max="14" width="11.5703125" style="128" bestFit="1" customWidth="1"/>
    <col min="15" max="15" width="14.7109375" style="128" customWidth="1"/>
    <col min="16" max="16" width="14.5703125" style="128" customWidth="1"/>
    <col min="17" max="17" width="11.28515625" style="128" bestFit="1" customWidth="1"/>
    <col min="18" max="19" width="10.7109375" style="128" bestFit="1" customWidth="1"/>
    <col min="20" max="20" width="11.28515625" style="128" bestFit="1" customWidth="1"/>
    <col min="21" max="16384" width="9.140625" style="128"/>
  </cols>
  <sheetData>
    <row r="2" spans="1:17" ht="15.75" x14ac:dyDescent="0.25">
      <c r="A2" s="125"/>
      <c r="B2" s="127">
        <v>44196</v>
      </c>
      <c r="C2" s="167">
        <v>2021</v>
      </c>
      <c r="D2" s="168"/>
      <c r="E2" s="127">
        <v>44561</v>
      </c>
      <c r="F2" s="164">
        <v>2022</v>
      </c>
      <c r="G2" s="164"/>
      <c r="H2" s="127">
        <v>44926</v>
      </c>
      <c r="I2" s="164">
        <v>2023</v>
      </c>
      <c r="J2" s="164"/>
      <c r="K2" s="127">
        <v>45291</v>
      </c>
      <c r="L2" s="164">
        <v>2024</v>
      </c>
      <c r="M2" s="164"/>
      <c r="N2" s="127">
        <v>45657</v>
      </c>
      <c r="O2" s="164">
        <v>2025</v>
      </c>
      <c r="P2" s="164"/>
      <c r="Q2" s="127">
        <v>46022</v>
      </c>
    </row>
    <row r="3" spans="1:17" ht="63" customHeight="1" x14ac:dyDescent="0.25">
      <c r="A3" s="125"/>
      <c r="B3" s="125"/>
      <c r="C3" s="129" t="s">
        <v>100</v>
      </c>
      <c r="D3" s="130" t="s">
        <v>101</v>
      </c>
      <c r="E3" s="125"/>
      <c r="F3" s="129" t="s">
        <v>100</v>
      </c>
      <c r="G3" s="130" t="s">
        <v>101</v>
      </c>
      <c r="H3" s="125"/>
      <c r="I3" s="129" t="s">
        <v>100</v>
      </c>
      <c r="J3" s="130" t="s">
        <v>101</v>
      </c>
      <c r="K3" s="125"/>
      <c r="L3" s="129" t="s">
        <v>100</v>
      </c>
      <c r="M3" s="130" t="s">
        <v>101</v>
      </c>
      <c r="N3" s="125"/>
      <c r="O3" s="129" t="s">
        <v>143</v>
      </c>
      <c r="P3" s="130" t="s">
        <v>101</v>
      </c>
      <c r="Q3" s="125"/>
    </row>
    <row r="4" spans="1:17" ht="15.75" x14ac:dyDescent="0.25">
      <c r="A4" s="125" t="s">
        <v>102</v>
      </c>
      <c r="B4" s="131"/>
      <c r="C4" s="132">
        <v>7296</v>
      </c>
      <c r="D4" s="139">
        <v>8629.2999999999993</v>
      </c>
      <c r="E4" s="131"/>
      <c r="F4" s="132">
        <v>9600</v>
      </c>
      <c r="G4" s="165">
        <v>9446.1</v>
      </c>
      <c r="H4" s="131"/>
      <c r="I4" s="132">
        <v>9600</v>
      </c>
      <c r="J4" s="165">
        <v>9775.59</v>
      </c>
      <c r="K4" s="131"/>
      <c r="L4" s="132">
        <v>11212.8</v>
      </c>
      <c r="M4" s="165">
        <v>11382.68</v>
      </c>
      <c r="N4" s="131"/>
      <c r="O4" s="132">
        <v>12602.27</v>
      </c>
      <c r="P4" s="165">
        <v>12787.75</v>
      </c>
      <c r="Q4" s="131"/>
    </row>
    <row r="5" spans="1:17" ht="15.75" x14ac:dyDescent="0.25">
      <c r="A5" s="125" t="s">
        <v>91</v>
      </c>
      <c r="B5" s="131"/>
      <c r="C5" s="132">
        <v>150</v>
      </c>
      <c r="D5" s="139"/>
      <c r="E5" s="131"/>
      <c r="F5" s="132">
        <v>200</v>
      </c>
      <c r="G5" s="165"/>
      <c r="H5" s="131"/>
      <c r="I5" s="132">
        <v>100</v>
      </c>
      <c r="J5" s="165"/>
      <c r="K5" s="131"/>
      <c r="L5" s="132">
        <v>50</v>
      </c>
      <c r="M5" s="165"/>
      <c r="N5" s="131"/>
      <c r="O5" s="132">
        <v>0</v>
      </c>
      <c r="P5" s="165"/>
      <c r="Q5" s="131"/>
    </row>
    <row r="6" spans="1:17" ht="15.75" x14ac:dyDescent="0.25">
      <c r="A6" s="125" t="s">
        <v>116</v>
      </c>
      <c r="B6" s="131"/>
      <c r="C6" s="132"/>
      <c r="D6" s="139"/>
      <c r="E6" s="131"/>
      <c r="F6" s="132"/>
      <c r="G6" s="165"/>
      <c r="H6" s="131"/>
      <c r="I6" s="132"/>
      <c r="J6" s="165"/>
      <c r="K6" s="131"/>
      <c r="L6" s="132">
        <v>1920</v>
      </c>
      <c r="M6" s="165"/>
      <c r="N6" s="131"/>
      <c r="O6" s="132">
        <v>2029.89</v>
      </c>
      <c r="P6" s="165"/>
      <c r="Q6" s="131"/>
    </row>
    <row r="7" spans="1:17" ht="15.75" x14ac:dyDescent="0.25">
      <c r="A7" s="125" t="s">
        <v>103</v>
      </c>
      <c r="B7" s="131"/>
      <c r="C7" s="133">
        <v>32.700000000000003</v>
      </c>
      <c r="D7" s="139"/>
      <c r="E7" s="131"/>
      <c r="F7" s="133">
        <v>0</v>
      </c>
      <c r="G7" s="165"/>
      <c r="H7" s="131"/>
      <c r="I7" s="133">
        <v>0</v>
      </c>
      <c r="J7" s="165"/>
      <c r="K7" s="131"/>
      <c r="L7" s="133">
        <v>0</v>
      </c>
      <c r="M7" s="165"/>
      <c r="N7" s="131"/>
      <c r="O7" s="133">
        <v>0</v>
      </c>
      <c r="P7" s="165"/>
      <c r="Q7" s="131"/>
    </row>
    <row r="8" spans="1:17" ht="15.75" x14ac:dyDescent="0.25">
      <c r="A8" s="125" t="s">
        <v>104</v>
      </c>
      <c r="B8" s="131"/>
      <c r="C8" s="133">
        <v>0</v>
      </c>
      <c r="D8" s="139"/>
      <c r="E8" s="131"/>
      <c r="F8" s="133">
        <v>105.9</v>
      </c>
      <c r="G8" s="165"/>
      <c r="H8" s="131"/>
      <c r="I8" s="133">
        <v>185.1</v>
      </c>
      <c r="J8" s="165"/>
      <c r="K8" s="131"/>
      <c r="L8" s="133">
        <v>332.93</v>
      </c>
      <c r="M8" s="165"/>
      <c r="N8" s="131"/>
      <c r="O8" s="133">
        <v>550.36</v>
      </c>
      <c r="P8" s="165"/>
      <c r="Q8" s="131"/>
    </row>
    <row r="9" spans="1:17" ht="15.75" x14ac:dyDescent="0.25">
      <c r="A9" s="125" t="s">
        <v>105</v>
      </c>
      <c r="B9" s="131"/>
      <c r="C9" s="131">
        <v>24</v>
      </c>
      <c r="D9" s="139"/>
      <c r="E9" s="131"/>
      <c r="F9" s="131">
        <v>24</v>
      </c>
      <c r="G9" s="165"/>
      <c r="H9" s="131"/>
      <c r="I9" s="131">
        <v>24</v>
      </c>
      <c r="J9" s="165"/>
      <c r="K9" s="131"/>
      <c r="L9" s="131">
        <v>24</v>
      </c>
      <c r="M9" s="165"/>
      <c r="N9" s="131"/>
      <c r="O9" s="131">
        <v>22</v>
      </c>
      <c r="P9" s="165"/>
      <c r="Q9" s="131"/>
    </row>
    <row r="10" spans="1:17" ht="15.75" x14ac:dyDescent="0.25">
      <c r="A10" s="128" t="s">
        <v>126</v>
      </c>
      <c r="B10" s="131"/>
      <c r="C10" s="131">
        <v>0</v>
      </c>
      <c r="D10" s="139"/>
      <c r="E10" s="131"/>
      <c r="F10" s="131">
        <v>0</v>
      </c>
      <c r="G10" s="165"/>
      <c r="H10" s="131"/>
      <c r="I10" s="131">
        <v>0</v>
      </c>
      <c r="J10" s="165"/>
      <c r="K10" s="131"/>
      <c r="L10" s="131">
        <v>0</v>
      </c>
      <c r="M10" s="165"/>
      <c r="N10" s="131"/>
      <c r="O10" s="131">
        <v>280</v>
      </c>
      <c r="P10" s="165"/>
      <c r="Q10" s="131"/>
    </row>
    <row r="11" spans="1:17" ht="15.75" x14ac:dyDescent="0.25">
      <c r="A11" s="125" t="s">
        <v>106</v>
      </c>
      <c r="B11" s="131"/>
      <c r="C11" s="131">
        <v>0</v>
      </c>
      <c r="D11" s="139"/>
      <c r="E11" s="131"/>
      <c r="F11" s="131">
        <v>0</v>
      </c>
      <c r="G11" s="165"/>
      <c r="H11" s="131"/>
      <c r="I11" s="131">
        <v>0</v>
      </c>
      <c r="J11" s="165"/>
      <c r="K11" s="131"/>
      <c r="L11" s="131">
        <v>0</v>
      </c>
      <c r="M11" s="165"/>
      <c r="N11" s="131"/>
      <c r="O11" s="131">
        <v>0</v>
      </c>
      <c r="P11" s="165"/>
      <c r="Q11" s="131"/>
    </row>
    <row r="12" spans="1:17" ht="15.75" x14ac:dyDescent="0.25">
      <c r="A12" s="125"/>
      <c r="B12" s="131"/>
      <c r="C12" s="131"/>
      <c r="D12" s="139"/>
      <c r="E12" s="131"/>
      <c r="F12" s="131">
        <v>0</v>
      </c>
      <c r="G12" s="165"/>
      <c r="H12" s="131"/>
      <c r="I12" s="131">
        <v>0</v>
      </c>
      <c r="J12" s="165"/>
      <c r="K12" s="131"/>
      <c r="L12" s="131">
        <v>0</v>
      </c>
      <c r="M12" s="165"/>
      <c r="N12" s="131"/>
      <c r="O12" s="131">
        <v>0</v>
      </c>
      <c r="P12" s="165"/>
      <c r="Q12" s="131"/>
    </row>
    <row r="13" spans="1:17" ht="15.75" x14ac:dyDescent="0.25">
      <c r="A13" s="125" t="s">
        <v>107</v>
      </c>
      <c r="B13" s="131">
        <v>3771.9599999999991</v>
      </c>
      <c r="C13" s="131">
        <f>SUM(C4:C12)</f>
        <v>7502.7</v>
      </c>
      <c r="D13" s="139"/>
      <c r="E13" s="131">
        <f>B13+C13-D4</f>
        <v>2645.3600000000006</v>
      </c>
      <c r="F13" s="131">
        <f>SUM(F4:F12)</f>
        <v>9929.9</v>
      </c>
      <c r="G13" s="165"/>
      <c r="H13" s="131">
        <f>E13+F13-G4</f>
        <v>3129.16</v>
      </c>
      <c r="I13" s="131">
        <f>SUM(I4:I12)</f>
        <v>9909.1</v>
      </c>
      <c r="J13" s="165"/>
      <c r="K13" s="131">
        <f>H13+I13-J4</f>
        <v>3262.67</v>
      </c>
      <c r="L13" s="131">
        <f>SUM(L4:L12)</f>
        <v>13539.73</v>
      </c>
      <c r="M13" s="165"/>
      <c r="N13" s="131">
        <f>K13+L13-M4</f>
        <v>5419.7200000000012</v>
      </c>
      <c r="O13" s="131">
        <f>SUM(O4:O12)</f>
        <v>15484.52</v>
      </c>
      <c r="P13" s="165"/>
      <c r="Q13" s="131">
        <f>N13+O13-P4</f>
        <v>8116.4900000000016</v>
      </c>
    </row>
    <row r="14" spans="1:17" ht="15.75" x14ac:dyDescent="0.25">
      <c r="A14" s="125" t="s">
        <v>108</v>
      </c>
      <c r="B14" s="131">
        <v>409.48999999999887</v>
      </c>
      <c r="C14" s="131"/>
      <c r="D14" s="131"/>
      <c r="E14" s="131">
        <f>E13-B13</f>
        <v>-1126.5999999999985</v>
      </c>
      <c r="F14" s="131"/>
      <c r="G14" s="131"/>
      <c r="H14" s="131">
        <f>H13-E13</f>
        <v>483.79999999999927</v>
      </c>
      <c r="I14" s="131"/>
      <c r="J14" s="131"/>
      <c r="K14" s="131">
        <f>K13-H13</f>
        <v>133.51000000000022</v>
      </c>
      <c r="L14" s="131"/>
      <c r="M14" s="131"/>
      <c r="N14" s="131">
        <f>N13-K13</f>
        <v>2157.0500000000011</v>
      </c>
      <c r="O14" s="131"/>
      <c r="P14" s="131"/>
      <c r="Q14" s="131">
        <f>Q13-N13</f>
        <v>2696.7700000000004</v>
      </c>
    </row>
    <row r="18" spans="1:13" ht="31.5" x14ac:dyDescent="0.25">
      <c r="A18" s="134" t="s">
        <v>142</v>
      </c>
      <c r="B18" s="127">
        <v>43100</v>
      </c>
      <c r="C18" s="127">
        <v>43465</v>
      </c>
      <c r="D18" s="135">
        <v>43830</v>
      </c>
      <c r="E18" s="135">
        <v>44196</v>
      </c>
      <c r="F18" s="135">
        <v>44561</v>
      </c>
      <c r="G18" s="135">
        <v>44926</v>
      </c>
      <c r="H18" s="135">
        <v>45291</v>
      </c>
      <c r="I18" s="127">
        <v>45657</v>
      </c>
      <c r="J18" s="127">
        <v>46022</v>
      </c>
      <c r="K18" s="134" t="s">
        <v>109</v>
      </c>
    </row>
    <row r="19" spans="1:13" ht="31.5" x14ac:dyDescent="0.25">
      <c r="A19" s="134" t="s">
        <v>110</v>
      </c>
      <c r="B19" s="131">
        <v>2932.2</v>
      </c>
      <c r="C19" s="131">
        <v>1726.93</v>
      </c>
      <c r="D19" s="131">
        <v>1406.71</v>
      </c>
      <c r="E19" s="131">
        <v>3360.4</v>
      </c>
      <c r="F19" s="131">
        <v>1643.95</v>
      </c>
      <c r="G19" s="131">
        <v>659.2</v>
      </c>
      <c r="H19" s="131">
        <v>321.27</v>
      </c>
      <c r="I19" s="138">
        <f>3105.6+134.4</f>
        <v>3240</v>
      </c>
      <c r="J19" s="141">
        <f>21.62+61.56</f>
        <v>83.18</v>
      </c>
      <c r="K19" s="131"/>
    </row>
    <row r="20" spans="1:13" ht="31.5" x14ac:dyDescent="0.25">
      <c r="A20" s="134" t="s">
        <v>111</v>
      </c>
      <c r="B20" s="131">
        <v>2106.6</v>
      </c>
      <c r="C20" s="131">
        <f>2384.18+16.32</f>
        <v>2400.5</v>
      </c>
      <c r="D20" s="131">
        <v>1957.61</v>
      </c>
      <c r="E20" s="131">
        <v>1084.3800000000001</v>
      </c>
      <c r="F20" s="131">
        <v>1286.9100000000001</v>
      </c>
      <c r="G20" s="131">
        <v>812.9</v>
      </c>
      <c r="H20" s="131">
        <v>785.14</v>
      </c>
      <c r="I20" s="138">
        <v>1498.35</v>
      </c>
      <c r="J20" s="141">
        <v>1449.36</v>
      </c>
      <c r="K20" s="131"/>
      <c r="M20" s="169"/>
    </row>
    <row r="21" spans="1:13" ht="31.5" x14ac:dyDescent="0.25">
      <c r="A21" s="134" t="s">
        <v>112</v>
      </c>
      <c r="B21" s="136">
        <v>1414.9</v>
      </c>
      <c r="C21" s="131">
        <v>1776.9</v>
      </c>
      <c r="D21" s="131">
        <v>1001.85</v>
      </c>
      <c r="E21" s="131">
        <v>672.82</v>
      </c>
      <c r="F21" s="131">
        <v>285.5</v>
      </c>
      <c r="G21" s="131">
        <v>-27.16</v>
      </c>
      <c r="H21" s="131">
        <v>52.84</v>
      </c>
      <c r="I21" s="138">
        <f>122.67+52.89</f>
        <v>175.56</v>
      </c>
      <c r="J21" s="141">
        <v>130.72</v>
      </c>
      <c r="K21" s="131"/>
      <c r="M21" s="140"/>
    </row>
    <row r="22" spans="1:13" ht="31.5" x14ac:dyDescent="0.25">
      <c r="A22" s="134" t="s">
        <v>113</v>
      </c>
      <c r="B22" s="131"/>
      <c r="C22" s="131">
        <v>1000</v>
      </c>
      <c r="D22" s="131">
        <v>1000</v>
      </c>
      <c r="E22" s="131"/>
      <c r="F22" s="131"/>
      <c r="G22" s="131">
        <v>1500</v>
      </c>
      <c r="H22" s="131">
        <v>2000</v>
      </c>
      <c r="I22" s="138">
        <v>500</v>
      </c>
      <c r="J22" s="141">
        <v>6336.71</v>
      </c>
      <c r="K22" s="131"/>
      <c r="M22" s="140"/>
    </row>
    <row r="23" spans="1:13" ht="31.5" x14ac:dyDescent="0.25">
      <c r="A23" s="134" t="s">
        <v>114</v>
      </c>
      <c r="B23" s="131"/>
      <c r="C23" s="131"/>
      <c r="D23" s="131"/>
      <c r="E23" s="131"/>
      <c r="F23" s="131"/>
      <c r="G23" s="131">
        <v>129.9</v>
      </c>
      <c r="H23" s="131">
        <v>209.1</v>
      </c>
      <c r="I23" s="138">
        <v>356.93</v>
      </c>
      <c r="J23" s="141">
        <v>377.96</v>
      </c>
      <c r="K23" s="131"/>
    </row>
    <row r="24" spans="1:13" ht="15.75" x14ac:dyDescent="0.25">
      <c r="A24" s="134" t="s">
        <v>115</v>
      </c>
      <c r="B24" s="131">
        <f>B19+B20-B21</f>
        <v>3623.8999999999992</v>
      </c>
      <c r="C24" s="131">
        <f>C19+C20+C22-C21</f>
        <v>3350.53</v>
      </c>
      <c r="D24" s="131">
        <f>D19+D20+D22-D21</f>
        <v>3362.47</v>
      </c>
      <c r="E24" s="131">
        <f>E19+E20+E22-E21</f>
        <v>3771.9600000000005</v>
      </c>
      <c r="F24" s="131">
        <f>F19+F20+F22-F21</f>
        <v>2645.36</v>
      </c>
      <c r="G24" s="131">
        <f>G19+G20+G22-G21+G23</f>
        <v>3129.16</v>
      </c>
      <c r="H24" s="131">
        <f>H19+H20+H22-H21+H23</f>
        <v>3262.6699999999996</v>
      </c>
      <c r="I24" s="131">
        <f>I19+I20+I22-I21+I23</f>
        <v>5419.72</v>
      </c>
      <c r="J24" s="132">
        <f>J19+J20+J22-J21+J23</f>
        <v>8116.49</v>
      </c>
      <c r="K24" s="136">
        <f>J24-I24</f>
        <v>2696.7699999999995</v>
      </c>
      <c r="L24" s="140"/>
      <c r="M24" s="169"/>
    </row>
    <row r="25" spans="1:13" x14ac:dyDescent="0.25">
      <c r="M25" s="140"/>
    </row>
    <row r="27" spans="1:13" x14ac:dyDescent="0.25">
      <c r="A27" s="137"/>
    </row>
    <row r="28" spans="1:13" ht="23.25" x14ac:dyDescent="0.35">
      <c r="A28" s="166"/>
      <c r="B28" s="166"/>
      <c r="C28" s="166"/>
      <c r="D28" s="166"/>
      <c r="E28" s="166"/>
      <c r="F28" s="166"/>
      <c r="G28" s="166"/>
    </row>
  </sheetData>
  <mergeCells count="10">
    <mergeCell ref="O2:P2"/>
    <mergeCell ref="P4:P13"/>
    <mergeCell ref="A28:G28"/>
    <mergeCell ref="L2:M2"/>
    <mergeCell ref="M4:M13"/>
    <mergeCell ref="G4:G13"/>
    <mergeCell ref="J4:J13"/>
    <mergeCell ref="C2:D2"/>
    <mergeCell ref="F2:G2"/>
    <mergeCell ref="I2:J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2026</vt:lpstr>
      <vt:lpstr>расшифровка ст.1</vt:lpstr>
      <vt:lpstr>расшифровка ст.2</vt:lpstr>
      <vt:lpstr>бюджет доходов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2026-02-17T16:14:03Z</dcterms:modified>
</cp:coreProperties>
</file>