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D2040786-54DD-49AB-A28E-41F939270BD7}" xr6:coauthVersionLast="37" xr6:coauthVersionMax="37" xr10:uidLastSave="{00000000-0000-0000-0000-000000000000}"/>
  <bookViews>
    <workbookView xWindow="0" yWindow="0" windowWidth="22260" windowHeight="12645" activeTab="3" xr2:uid="{00000000-000D-0000-FFFF-FFFF00000000}"/>
  </bookViews>
  <sheets>
    <sheet name="план 2025" sheetId="1" r:id="rId1"/>
    <sheet name="расшифровка ст.1" sheetId="3" r:id="rId2"/>
    <sheet name="расшифровка ст.2" sheetId="2" r:id="rId3"/>
    <sheet name="бюджет доходов 2024" sheetId="4" r:id="rId4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4" l="1"/>
  <c r="N14" i="4"/>
  <c r="N13" i="4"/>
  <c r="E4" i="1"/>
  <c r="E13" i="4" l="1"/>
  <c r="E14" i="4" s="1"/>
  <c r="L13" i="4"/>
  <c r="I19" i="4"/>
  <c r="I24" i="4" s="1"/>
  <c r="J24" i="4" s="1"/>
  <c r="H24" i="4"/>
  <c r="G24" i="4"/>
  <c r="F24" i="4"/>
  <c r="E24" i="4"/>
  <c r="D24" i="4"/>
  <c r="C24" i="4"/>
  <c r="B24" i="4"/>
  <c r="C20" i="4"/>
  <c r="I13" i="4"/>
  <c r="F13" i="4"/>
  <c r="C13" i="4"/>
  <c r="H13" i="4" l="1"/>
  <c r="H14" i="4" l="1"/>
  <c r="K13" i="4"/>
  <c r="K14" i="4" l="1"/>
  <c r="H32" i="1" l="1"/>
  <c r="J32" i="1" s="1"/>
  <c r="I32" i="1" l="1"/>
  <c r="M13" i="2" l="1"/>
  <c r="D57" i="1" l="1"/>
  <c r="H39" i="1" l="1"/>
  <c r="H26" i="1"/>
  <c r="H19" i="1"/>
  <c r="H4" i="1" s="1"/>
  <c r="H5" i="1"/>
  <c r="J18" i="1"/>
  <c r="H50" i="1" l="1"/>
  <c r="H51" i="1" s="1"/>
  <c r="Q13" i="2"/>
  <c r="O13" i="2"/>
  <c r="G9" i="3"/>
  <c r="G8" i="3"/>
  <c r="G6" i="3"/>
  <c r="G7" i="3"/>
  <c r="C8" i="3"/>
  <c r="C7" i="3"/>
  <c r="C6" i="3"/>
  <c r="E13" i="3"/>
  <c r="E14" i="3" s="1"/>
  <c r="K5" i="3"/>
  <c r="I5" i="3"/>
  <c r="E5" i="3"/>
  <c r="Q5" i="2"/>
  <c r="Q6" i="2"/>
  <c r="Q7" i="2"/>
  <c r="Q8" i="2"/>
  <c r="Q9" i="2"/>
  <c r="Q4" i="2"/>
  <c r="R6" i="2"/>
  <c r="R8" i="2"/>
  <c r="R9" i="2"/>
  <c r="R4" i="2"/>
  <c r="O5" i="2"/>
  <c r="O6" i="2"/>
  <c r="O7" i="2"/>
  <c r="O8" i="2"/>
  <c r="O9" i="2"/>
  <c r="O4" i="2"/>
  <c r="P6" i="2"/>
  <c r="P8" i="2"/>
  <c r="P9" i="2"/>
  <c r="P4" i="2"/>
  <c r="H45" i="1" l="1"/>
  <c r="K8" i="3" l="1"/>
  <c r="K9" i="3"/>
  <c r="L6" i="2" l="1"/>
  <c r="M10" i="2"/>
  <c r="N10" i="2"/>
  <c r="M11" i="2" l="1"/>
  <c r="Q10" i="2"/>
  <c r="O10" i="2"/>
  <c r="J13" i="1" l="1"/>
  <c r="G11" i="2" l="1"/>
  <c r="G13" i="2" s="1"/>
  <c r="C11" i="2"/>
  <c r="K10" i="2"/>
  <c r="K11" i="2" s="1"/>
  <c r="K13" i="2" s="1"/>
  <c r="I10" i="2"/>
  <c r="I11" i="2" s="1"/>
  <c r="I13" i="2" s="1"/>
  <c r="H10" i="2"/>
  <c r="G10" i="2"/>
  <c r="F10" i="2"/>
  <c r="E10" i="2"/>
  <c r="E11" i="2" s="1"/>
  <c r="E13" i="2" s="1"/>
  <c r="J7" i="2"/>
  <c r="L7" i="2" s="1"/>
  <c r="J6" i="2"/>
  <c r="J5" i="2"/>
  <c r="L5" i="2" s="1"/>
  <c r="J4" i="2"/>
  <c r="H44" i="1"/>
  <c r="D4" i="1"/>
  <c r="P5" i="2" l="1"/>
  <c r="R5" i="2"/>
  <c r="R7" i="2"/>
  <c r="P7" i="2"/>
  <c r="L10" i="2"/>
  <c r="J10" i="2"/>
  <c r="R10" i="2" l="1"/>
  <c r="P10" i="2"/>
  <c r="J47" i="1"/>
  <c r="I47" i="1"/>
  <c r="G47" i="1"/>
  <c r="F47" i="1"/>
  <c r="I46" i="1"/>
  <c r="F46" i="1"/>
  <c r="J45" i="1"/>
  <c r="G45" i="1"/>
  <c r="F45" i="1"/>
  <c r="J44" i="1"/>
  <c r="I44" i="1"/>
  <c r="G44" i="1"/>
  <c r="F44" i="1"/>
  <c r="J43" i="1"/>
  <c r="I43" i="1"/>
  <c r="G43" i="1"/>
  <c r="F43" i="1"/>
  <c r="J42" i="1"/>
  <c r="I42" i="1"/>
  <c r="G42" i="1"/>
  <c r="F42" i="1"/>
  <c r="J41" i="1"/>
  <c r="I41" i="1"/>
  <c r="G41" i="1"/>
  <c r="F41" i="1"/>
  <c r="J40" i="1"/>
  <c r="I40" i="1"/>
  <c r="G40" i="1"/>
  <c r="F40" i="1"/>
  <c r="J39" i="1"/>
  <c r="G39" i="1"/>
  <c r="F39" i="1"/>
  <c r="J38" i="1"/>
  <c r="I38" i="1"/>
  <c r="G38" i="1"/>
  <c r="F38" i="1"/>
  <c r="J37" i="1"/>
  <c r="I37" i="1"/>
  <c r="G37" i="1"/>
  <c r="F37" i="1"/>
  <c r="J36" i="1"/>
  <c r="I36" i="1"/>
  <c r="G36" i="1"/>
  <c r="F36" i="1"/>
  <c r="J34" i="1"/>
  <c r="I34" i="1"/>
  <c r="G34" i="1"/>
  <c r="F34" i="1"/>
  <c r="J33" i="1"/>
  <c r="I33" i="1"/>
  <c r="G33" i="1"/>
  <c r="F33" i="1"/>
  <c r="G32" i="1"/>
  <c r="F32" i="1"/>
  <c r="J31" i="1"/>
  <c r="I31" i="1"/>
  <c r="G31" i="1"/>
  <c r="F31" i="1"/>
  <c r="I30" i="1"/>
  <c r="F30" i="1"/>
  <c r="I29" i="1"/>
  <c r="F29" i="1"/>
  <c r="I28" i="1"/>
  <c r="F28" i="1"/>
  <c r="I27" i="1"/>
  <c r="F27" i="1"/>
  <c r="I26" i="1"/>
  <c r="F26" i="1"/>
  <c r="J25" i="1"/>
  <c r="I25" i="1"/>
  <c r="G25" i="1"/>
  <c r="F25" i="1"/>
  <c r="J24" i="1"/>
  <c r="I24" i="1"/>
  <c r="F24" i="1"/>
  <c r="I22" i="1"/>
  <c r="J21" i="1"/>
  <c r="I21" i="1"/>
  <c r="G21" i="1"/>
  <c r="F21" i="1"/>
  <c r="J20" i="1"/>
  <c r="I20" i="1"/>
  <c r="G20" i="1"/>
  <c r="F20" i="1"/>
  <c r="G19" i="1"/>
  <c r="F19" i="1"/>
  <c r="I18" i="1"/>
  <c r="G18" i="1"/>
  <c r="F18" i="1"/>
  <c r="J17" i="1"/>
  <c r="I17" i="1"/>
  <c r="G17" i="1"/>
  <c r="F17" i="1"/>
  <c r="I16" i="1"/>
  <c r="F16" i="1"/>
  <c r="I15" i="1"/>
  <c r="F15" i="1"/>
  <c r="J14" i="1"/>
  <c r="I14" i="1"/>
  <c r="G14" i="1"/>
  <c r="F14" i="1"/>
  <c r="I13" i="1"/>
  <c r="G13" i="1"/>
  <c r="F13" i="1"/>
  <c r="J12" i="1"/>
  <c r="I12" i="1"/>
  <c r="G12" i="1"/>
  <c r="F12" i="1"/>
  <c r="J11" i="1"/>
  <c r="I11" i="1"/>
  <c r="G11" i="1"/>
  <c r="F11" i="1"/>
  <c r="J10" i="1"/>
  <c r="I10" i="1"/>
  <c r="G10" i="1"/>
  <c r="F10" i="1"/>
  <c r="I9" i="1"/>
  <c r="I8" i="1"/>
  <c r="F8" i="1"/>
  <c r="G7" i="1"/>
  <c r="F7" i="1"/>
  <c r="I6" i="1"/>
  <c r="G6" i="1"/>
  <c r="F6" i="1"/>
  <c r="G5" i="1"/>
  <c r="F5" i="1"/>
  <c r="I39" i="1" l="1"/>
  <c r="J22" i="1"/>
  <c r="G4" i="1"/>
  <c r="J6" i="1"/>
  <c r="I45" i="1"/>
  <c r="F4" i="1"/>
  <c r="H7" i="1"/>
  <c r="J19" i="1" l="1"/>
  <c r="I19" i="1"/>
  <c r="J7" i="1"/>
  <c r="I7" i="1"/>
  <c r="J5" i="1" l="1"/>
  <c r="I5" i="1"/>
  <c r="J4" i="1" l="1"/>
  <c r="I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F8" authorId="0" shapeId="0" xr:uid="{555D82EA-DD98-4E8A-A2C4-5CAC8FF197AB}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премия по итогам года</t>
        </r>
      </text>
    </comment>
    <comment ref="E33" authorId="0" shapeId="0" xr:uid="{85E2C1F4-7947-44E0-9FA5-49DA8937B3A4}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потрачено в 2024 по факту, деньги переведены в декабре 2023</t>
        </r>
      </text>
    </comment>
    <comment ref="E46" authorId="0" shapeId="0" xr:uid="{0DDC2403-9FA7-458E-AD81-657A07E67895}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нотариус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I19" authorId="0" shapeId="0" xr:uid="{88427C4F-58AE-442E-8536-976490438324}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статья содержит ежемесячные членские взносы, взносы в резервный фонд, %% полученные по депозитам и прочее</t>
        </r>
      </text>
    </comment>
    <comment ref="C20" authorId="0" shapeId="0" xr:uid="{3D0F448A-479D-4BAF-A127-8C58C46AC974}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прибавить задолженность за виновным лицом по хищению баков</t>
        </r>
      </text>
    </comment>
  </commentList>
</comments>
</file>

<file path=xl/sharedStrings.xml><?xml version="1.0" encoding="utf-8"?>
<sst xmlns="http://schemas.openxmlformats.org/spreadsheetml/2006/main" count="189" uniqueCount="152">
  <si>
    <t>РАСХОДЫ</t>
  </si>
  <si>
    <t>отклонение</t>
  </si>
  <si>
    <t xml:space="preserve">изменения в бюджете план </t>
  </si>
  <si>
    <t>Комментарии</t>
  </si>
  <si>
    <t>План</t>
  </si>
  <si>
    <t>Факт</t>
  </si>
  <si>
    <t>план-факт</t>
  </si>
  <si>
    <t>% от плана</t>
  </si>
  <si>
    <t>план</t>
  </si>
  <si>
    <t>абсолют.</t>
  </si>
  <si>
    <t>относит.</t>
  </si>
  <si>
    <t>1. Содержание и текущий ремонт общего имущества и мест общего пользования</t>
  </si>
  <si>
    <t xml:space="preserve">Общий ФОТ (с учетом налогов) </t>
  </si>
  <si>
    <t>-</t>
  </si>
  <si>
    <t>Фонд оплаты труда (штатное расписание)</t>
  </si>
  <si>
    <t>Начисления (налоги) на ФОТ</t>
  </si>
  <si>
    <t>Премиальный фонд с начисл. (итоги года) (по соглас. с правлением)</t>
  </si>
  <si>
    <t>Обслуживание ПОСЕЛКА</t>
  </si>
  <si>
    <t>2.1</t>
  </si>
  <si>
    <t>Бонус за обслуживание поселка (по итогам года)</t>
  </si>
  <si>
    <t>Расчетно-кассовое обслуживание (банк)</t>
  </si>
  <si>
    <t>Канцтовары, связь</t>
  </si>
  <si>
    <t>Обслуживание и ремонт цифровой техники (1С, ПК, ксерокс, касс.аппарат..)</t>
  </si>
  <si>
    <t>Налог на имущество общедолевой собственности</t>
  </si>
  <si>
    <t>Арендная плата за землю</t>
  </si>
  <si>
    <t>Санитарная обработка территории поселка (от клещей, проверка воды)</t>
  </si>
  <si>
    <t>Расходы воды и эл.энергии для общего имущества и мест общего пользования (здания, сети, КНС, ТП) (в т.ч. Э/эн )</t>
  </si>
  <si>
    <t>Текущий ремонт общего имущества и мест общего пользования</t>
  </si>
  <si>
    <t>Ремонт КНС 1</t>
  </si>
  <si>
    <t xml:space="preserve"> -</t>
  </si>
  <si>
    <t>Ремонт здания ТСН +  стеллажи и стулья</t>
  </si>
  <si>
    <t>Прочие расходы</t>
  </si>
  <si>
    <t>Затраты за счет средств накопленных резервов ТСН, по решению Правления</t>
  </si>
  <si>
    <t>Видеонаблюдение</t>
  </si>
  <si>
    <t>Прочие расходы по решению Общего собрания или Правления</t>
  </si>
  <si>
    <t>Устранение аварийных ситуаций</t>
  </si>
  <si>
    <t>Уборка территории (услуги сторонних организаций, ГСМ для техники, ПЩС)</t>
  </si>
  <si>
    <t>вывоз снега</t>
  </si>
  <si>
    <t>ПЩС</t>
  </si>
  <si>
    <t>бензин в уборочную технику</t>
  </si>
  <si>
    <t>уборка крыши</t>
  </si>
  <si>
    <t>Содержание Бобкэта</t>
  </si>
  <si>
    <t>Топливо</t>
  </si>
  <si>
    <t>Масла, смазки, детали, смена резины</t>
  </si>
  <si>
    <t>Вывоз ТБО</t>
  </si>
  <si>
    <t>Хозинвентарь, хоз.товары, инструменты</t>
  </si>
  <si>
    <t xml:space="preserve">ОХРАНА ПОСЕЛКА </t>
  </si>
  <si>
    <t>Тревожная кнопка</t>
  </si>
  <si>
    <t>Непредвиденные расходы (по соглас. с правлением)</t>
  </si>
  <si>
    <t>Налоги</t>
  </si>
  <si>
    <t>Расчетный размер взноса</t>
  </si>
  <si>
    <t>В пределах плановых затрат 2024 года.</t>
  </si>
  <si>
    <t>Увеличение на 21%</t>
  </si>
  <si>
    <t>Должность</t>
  </si>
  <si>
    <t>Фамилия</t>
  </si>
  <si>
    <t>Сумма ежемесячной оплаты по договору, включая налоги, 2017</t>
  </si>
  <si>
    <t>Сумма выплаты "на руки" 2017</t>
  </si>
  <si>
    <t>Сумма ежемесячной оплаты по договору, включая налоги, 2020 (повышение у всех, кроме управляющего)</t>
  </si>
  <si>
    <t>Сумма выплаты "на руки" 2020</t>
  </si>
  <si>
    <t>Сумма ежемесячной оплаты по договору, включая налоги, 2022</t>
  </si>
  <si>
    <t>Сумма выплаты "на руки" 2022</t>
  </si>
  <si>
    <t>Сумма ежемесячной оплаты по договору, включая налоги, 2023</t>
  </si>
  <si>
    <t>Сумма выплаты "на руки" 2023</t>
  </si>
  <si>
    <t>Сумма ежемесячной оплаты по договору, включая налоги, 2024</t>
  </si>
  <si>
    <t>Сумма выплаты "на руки" 2024</t>
  </si>
  <si>
    <t>Абсолютное увеличение оплаты  "на руки"</t>
  </si>
  <si>
    <t>Управляющий</t>
  </si>
  <si>
    <t>Вторых А.Н.</t>
  </si>
  <si>
    <t>Сантехник</t>
  </si>
  <si>
    <t>Анищев И.Г.</t>
  </si>
  <si>
    <t>Электрик</t>
  </si>
  <si>
    <t>Потапенко С.В.</t>
  </si>
  <si>
    <t>Дворник</t>
  </si>
  <si>
    <t>Йулдошев Б.А.</t>
  </si>
  <si>
    <t>Бухгалтер</t>
  </si>
  <si>
    <t>Бурлакова Н.В.</t>
  </si>
  <si>
    <t>Уборщик(ца)</t>
  </si>
  <si>
    <t>Итого</t>
  </si>
  <si>
    <t>Всего за год, включая премию по итогам года в размере месячной выплаты + оплата за держства в новогодние праздники</t>
  </si>
  <si>
    <t>Премия за работу в праздничные дни января</t>
  </si>
  <si>
    <t>Всего</t>
  </si>
  <si>
    <t>Расшифровка статьи "Обслуживание поселка" на 2025 год</t>
  </si>
  <si>
    <t>22 недели по 10000 руб</t>
  </si>
  <si>
    <t>Ремонт дорог поселка (ямочный)</t>
  </si>
  <si>
    <t>Сумма ежемесячной оплаты по договору, включая налоги, 2025</t>
  </si>
  <si>
    <t>Сумма выплаты "на руки" 2025</t>
  </si>
  <si>
    <t>Уменьшение 15%</t>
  </si>
  <si>
    <t>Увеличение 2%</t>
  </si>
  <si>
    <t>Относительное увеличение выплат по договору 2025 к 2024, %</t>
  </si>
  <si>
    <t>Относительное увеличение выплат "на руки" 2025 к 2024, %</t>
  </si>
  <si>
    <t>Новогодняя иллюминация, укашение поселка</t>
  </si>
  <si>
    <t>Фонд оплаты 2024 факт</t>
  </si>
  <si>
    <t>НДФЛ</t>
  </si>
  <si>
    <t>годовая премия 2024</t>
  </si>
  <si>
    <t>Фонд оплаты 2025</t>
  </si>
  <si>
    <t>Зарплата 2025</t>
  </si>
  <si>
    <t>Годовая премия 2025</t>
  </si>
  <si>
    <t xml:space="preserve">Абсолютное увеличение </t>
  </si>
  <si>
    <t>Председатель правления</t>
  </si>
  <si>
    <t>Ермилова Д.И.</t>
  </si>
  <si>
    <t>Всего за год, включая премию и резерв отпусков</t>
  </si>
  <si>
    <t>Налоги на ФОТ*</t>
  </si>
  <si>
    <t>Итого по статье</t>
  </si>
  <si>
    <t>Всего по статье, включая резерв отпусков</t>
  </si>
  <si>
    <t>резерв отпусков 2022</t>
  </si>
  <si>
    <t>Среднедневной заработок</t>
  </si>
  <si>
    <t>Расшифровка статьи "Общий ФОТ (с учетом налогов) " на 2025 год</t>
  </si>
  <si>
    <t>Зарплата 2024</t>
  </si>
  <si>
    <t>Количество дней неиспользованного отпуска на 31.12.2024</t>
  </si>
  <si>
    <t>Увеличение на 11,5%</t>
  </si>
  <si>
    <t>установка видеонаболюдения + покупка канализационного насоса</t>
  </si>
  <si>
    <t>Увеличение в сред. На 23%</t>
  </si>
  <si>
    <t>ЗП председателя правления 18000 (1/2 МРОТ) *12 месяцев + резерв отпуска 8397</t>
  </si>
  <si>
    <t>Увеличение на 16%</t>
  </si>
  <si>
    <t>расчетная стоимость 1 кв.м. на 2025 год</t>
  </si>
  <si>
    <t>руб/кв.м</t>
  </si>
  <si>
    <t>увеличение в % отношении</t>
  </si>
  <si>
    <t>руб</t>
  </si>
  <si>
    <t>Вступительные взносы</t>
  </si>
  <si>
    <t>депозит %</t>
  </si>
  <si>
    <t>аренда ТП</t>
  </si>
  <si>
    <t>аренда серверной</t>
  </si>
  <si>
    <t>Профилактический ремонт КНС + аврийные работы</t>
  </si>
  <si>
    <t>Фактически полученные доходы в 2024 году:</t>
  </si>
  <si>
    <t>В пределах плановых затрат 2024 года (Обслуживание счета Альфа-банк 26900, остаток 3100 может быть комиссия по операциям в зависимости от ситуации)</t>
  </si>
  <si>
    <t>Увеличение (ремонт здания ТСН 450тр???; проф.ремонт КНС)</t>
  </si>
  <si>
    <t xml:space="preserve">Уменьшение </t>
  </si>
  <si>
    <t>Увеличение на 5% (связь+интернет - 25500, домен - 2790, канцелярия - 8710)</t>
  </si>
  <si>
    <t>Увеличение на 50%,  (ИТС 1С - 49992, Модуль ЖКХ - 19300, замена ФП на 36 мес. - 25068, замена ФН - 3150, ОФД на 36 мес - 6800)</t>
  </si>
  <si>
    <t>Абсолютное увеличение оплаты по договору 2017-2025</t>
  </si>
  <si>
    <t>Канализационный насос</t>
  </si>
  <si>
    <t>вывоз мусора машинами (экомусор)</t>
  </si>
  <si>
    <t>откачка КНС</t>
  </si>
  <si>
    <t>10 шишин 5куб.м. по 2800, 5 машин 7куб.м. по 3390</t>
  </si>
  <si>
    <t>начислено/получено (факт)</t>
  </si>
  <si>
    <t>израсходовано (факт)</t>
  </si>
  <si>
    <t>Ежемесячные членские взносы</t>
  </si>
  <si>
    <t>% на остаток в банке, депозит</t>
  </si>
  <si>
    <t>% по депозиту</t>
  </si>
  <si>
    <t>плата за аренду помещения</t>
  </si>
  <si>
    <t>Платные услуги населению</t>
  </si>
  <si>
    <t>Субсидия за 3место в конкурсе</t>
  </si>
  <si>
    <t>Резервы</t>
  </si>
  <si>
    <t>Увеличение резерва</t>
  </si>
  <si>
    <t>увеличение резерва</t>
  </si>
  <si>
    <t>Денежные средства (банк, касса), тыс.руб.</t>
  </si>
  <si>
    <t>Дебет.задолженность за собственниками</t>
  </si>
  <si>
    <t>Кредит.задолженность перед ресурсопоставляющими орг-ми</t>
  </si>
  <si>
    <t>Денежные средства, находящиеся в депозите</t>
  </si>
  <si>
    <t>Доходы от арены и %% по депозиту</t>
  </si>
  <si>
    <t>резерв тыс. руб.</t>
  </si>
  <si>
    <t>Целевой взнос в Резервный фонд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</si>
</sst>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\ _₽_-;\-* #,##0\ _₽_-;_-* &quot;-&quot;\ _₽_-;_-@_-"/>
    <numFmt numFmtId="43" formatCode="_-* #,##0.00\ _₽_-;\-* #,##0.00\ _₽_-;_-* &quot;-&quot;??\ _₽_-;_-@_-"/>
    <numFmt numFmtId="164" formatCode="0_ ;[Red]\-0\ "/>
    <numFmt numFmtId="165" formatCode="#,##0.00_ ;\-#,##0.00\ "/>
    <numFmt numFmtId="166" formatCode="#,##0_ ;\-#,##0\ "/>
    <numFmt numFmtId="167" formatCode="#,##0.00_ ;[Red]\-#,##0.00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8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71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7" fillId="0" borderId="7" xfId="1" applyNumberFormat="1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3" fontId="7" fillId="2" borderId="11" xfId="0" applyNumberFormat="1" applyFont="1" applyFill="1" applyBorder="1" applyAlignment="1">
      <alignment horizontal="center" vertical="center"/>
    </xf>
    <xf numFmtId="164" fontId="7" fillId="2" borderId="11" xfId="1" applyNumberFormat="1" applyFont="1" applyFill="1" applyBorder="1" applyAlignment="1">
      <alignment horizontal="center" vertical="center"/>
    </xf>
    <xf numFmtId="10" fontId="7" fillId="2" borderId="11" xfId="1" applyNumberFormat="1" applyFont="1" applyFill="1" applyBorder="1" applyAlignment="1">
      <alignment horizontal="center" vertical="center"/>
    </xf>
    <xf numFmtId="43" fontId="6" fillId="2" borderId="11" xfId="0" applyNumberFormat="1" applyFont="1" applyFill="1" applyBorder="1" applyAlignment="1">
      <alignment horizontal="center" vertical="center"/>
    </xf>
    <xf numFmtId="10" fontId="6" fillId="2" borderId="12" xfId="0" applyNumberFormat="1" applyFont="1" applyFill="1" applyBorder="1" applyAlignment="1">
      <alignment horizontal="center" vertical="center"/>
    </xf>
    <xf numFmtId="1" fontId="5" fillId="0" borderId="14" xfId="1" applyNumberFormat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left" vertical="center" wrapText="1"/>
    </xf>
    <xf numFmtId="43" fontId="6" fillId="0" borderId="16" xfId="0" applyNumberFormat="1" applyFont="1" applyFill="1" applyBorder="1"/>
    <xf numFmtId="43" fontId="6" fillId="0" borderId="16" xfId="0" applyNumberFormat="1" applyFont="1" applyBorder="1"/>
    <xf numFmtId="164" fontId="5" fillId="0" borderId="15" xfId="1" applyNumberFormat="1" applyFont="1" applyFill="1" applyBorder="1" applyAlignment="1">
      <alignment horizontal="center" vertical="center"/>
    </xf>
    <xf numFmtId="10" fontId="7" fillId="0" borderId="15" xfId="1" applyNumberFormat="1" applyFont="1" applyFill="1" applyBorder="1" applyAlignment="1">
      <alignment horizontal="center" vertical="center"/>
    </xf>
    <xf numFmtId="10" fontId="6" fillId="0" borderId="16" xfId="0" applyNumberFormat="1" applyFont="1" applyFill="1" applyBorder="1" applyAlignment="1">
      <alignment horizontal="center"/>
    </xf>
    <xf numFmtId="1" fontId="8" fillId="0" borderId="1" xfId="1" applyNumberFormat="1" applyFont="1" applyBorder="1" applyAlignment="1">
      <alignment horizontal="center" vertical="center"/>
    </xf>
    <xf numFmtId="0" fontId="8" fillId="0" borderId="2" xfId="1" applyFont="1" applyBorder="1" applyAlignment="1">
      <alignment horizontal="left" vertical="center" wrapText="1"/>
    </xf>
    <xf numFmtId="43" fontId="4" fillId="0" borderId="5" xfId="0" applyNumberFormat="1" applyFont="1" applyFill="1" applyBorder="1"/>
    <xf numFmtId="3" fontId="8" fillId="0" borderId="2" xfId="0" applyNumberFormat="1" applyFont="1" applyFill="1" applyBorder="1" applyAlignment="1">
      <alignment horizontal="center" vertical="center" wrapText="1"/>
    </xf>
    <xf numFmtId="164" fontId="8" fillId="0" borderId="2" xfId="1" applyNumberFormat="1" applyFont="1" applyFill="1" applyBorder="1" applyAlignment="1">
      <alignment horizontal="center" vertical="center"/>
    </xf>
    <xf numFmtId="10" fontId="9" fillId="0" borderId="2" xfId="1" applyNumberFormat="1" applyFont="1" applyFill="1" applyBorder="1" applyAlignment="1">
      <alignment horizontal="center" vertical="center"/>
    </xf>
    <xf numFmtId="43" fontId="4" fillId="0" borderId="16" xfId="0" applyNumberFormat="1" applyFont="1" applyFill="1" applyBorder="1"/>
    <xf numFmtId="10" fontId="4" fillId="0" borderId="16" xfId="0" applyNumberFormat="1" applyFont="1" applyFill="1" applyBorder="1" applyAlignment="1">
      <alignment horizontal="center"/>
    </xf>
    <xf numFmtId="1" fontId="8" fillId="0" borderId="17" xfId="1" applyNumberFormat="1" applyFont="1" applyBorder="1" applyAlignment="1">
      <alignment horizontal="center" vertical="center"/>
    </xf>
    <xf numFmtId="0" fontId="8" fillId="0" borderId="5" xfId="1" applyFont="1" applyBorder="1" applyAlignment="1">
      <alignment horizontal="left" vertical="center" wrapText="1"/>
    </xf>
    <xf numFmtId="164" fontId="8" fillId="0" borderId="5" xfId="1" applyNumberFormat="1" applyFont="1" applyFill="1" applyBorder="1" applyAlignment="1">
      <alignment horizontal="center" vertical="center"/>
    </xf>
    <xf numFmtId="10" fontId="9" fillId="0" borderId="5" xfId="1" applyNumberFormat="1" applyFont="1" applyFill="1" applyBorder="1" applyAlignment="1">
      <alignment horizontal="center" vertical="center"/>
    </xf>
    <xf numFmtId="1" fontId="8" fillId="0" borderId="18" xfId="1" applyNumberFormat="1" applyFont="1" applyBorder="1" applyAlignment="1">
      <alignment horizontal="center" vertical="center"/>
    </xf>
    <xf numFmtId="0" fontId="8" fillId="0" borderId="19" xfId="1" applyFont="1" applyBorder="1" applyAlignment="1">
      <alignment horizontal="left" vertical="center" wrapText="1"/>
    </xf>
    <xf numFmtId="43" fontId="4" fillId="0" borderId="5" xfId="0" applyNumberFormat="1" applyFont="1" applyFill="1" applyBorder="1" applyAlignment="1">
      <alignment horizontal="center"/>
    </xf>
    <xf numFmtId="164" fontId="8" fillId="0" borderId="19" xfId="1" applyNumberFormat="1" applyFont="1" applyFill="1" applyBorder="1" applyAlignment="1">
      <alignment horizontal="center" vertical="center"/>
    </xf>
    <xf numFmtId="0" fontId="9" fillId="0" borderId="19" xfId="1" applyNumberFormat="1" applyFont="1" applyFill="1" applyBorder="1" applyAlignment="1">
      <alignment horizontal="center" vertical="center"/>
    </xf>
    <xf numFmtId="1" fontId="8" fillId="0" borderId="20" xfId="1" applyNumberFormat="1" applyFont="1" applyBorder="1" applyAlignment="1">
      <alignment horizontal="center" vertical="center"/>
    </xf>
    <xf numFmtId="0" fontId="8" fillId="0" borderId="21" xfId="1" applyFont="1" applyBorder="1" applyAlignment="1">
      <alignment horizontal="left" vertical="center" wrapText="1"/>
    </xf>
    <xf numFmtId="164" fontId="8" fillId="0" borderId="21" xfId="1" applyNumberFormat="1" applyFont="1" applyFill="1" applyBorder="1" applyAlignment="1">
      <alignment horizontal="center" vertical="center"/>
    </xf>
    <xf numFmtId="0" fontId="9" fillId="0" borderId="21" xfId="1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/>
    </xf>
    <xf numFmtId="1" fontId="8" fillId="0" borderId="20" xfId="1" applyNumberFormat="1" applyFont="1" applyFill="1" applyBorder="1" applyAlignment="1">
      <alignment horizontal="center" vertical="center"/>
    </xf>
    <xf numFmtId="0" fontId="8" fillId="0" borderId="21" xfId="1" applyFont="1" applyFill="1" applyBorder="1" applyAlignment="1">
      <alignment horizontal="left" vertical="center" wrapText="1"/>
    </xf>
    <xf numFmtId="43" fontId="6" fillId="0" borderId="5" xfId="0" applyNumberFormat="1" applyFont="1" applyFill="1" applyBorder="1"/>
    <xf numFmtId="164" fontId="5" fillId="0" borderId="21" xfId="1" applyNumberFormat="1" applyFont="1" applyFill="1" applyBorder="1" applyAlignment="1">
      <alignment horizontal="center" vertical="center"/>
    </xf>
    <xf numFmtId="10" fontId="7" fillId="0" borderId="21" xfId="1" applyNumberFormat="1" applyFont="1" applyFill="1" applyBorder="1" applyAlignment="1">
      <alignment horizontal="center" vertical="center"/>
    </xf>
    <xf numFmtId="49" fontId="8" fillId="0" borderId="10" xfId="1" applyNumberFormat="1" applyFont="1" applyFill="1" applyBorder="1" applyAlignment="1">
      <alignment horizontal="center" vertical="center"/>
    </xf>
    <xf numFmtId="0" fontId="8" fillId="0" borderId="11" xfId="1" applyFont="1" applyFill="1" applyBorder="1" applyAlignment="1">
      <alignment horizontal="left" vertical="center" wrapText="1"/>
    </xf>
    <xf numFmtId="164" fontId="5" fillId="0" borderId="11" xfId="1" applyNumberFormat="1" applyFont="1" applyFill="1" applyBorder="1" applyAlignment="1">
      <alignment horizontal="center" vertical="center"/>
    </xf>
    <xf numFmtId="10" fontId="7" fillId="0" borderId="11" xfId="1" applyNumberFormat="1" applyFont="1" applyFill="1" applyBorder="1" applyAlignment="1">
      <alignment horizontal="center" vertical="center"/>
    </xf>
    <xf numFmtId="1" fontId="8" fillId="0" borderId="10" xfId="1" applyNumberFormat="1" applyFont="1" applyBorder="1" applyAlignment="1">
      <alignment horizontal="center" vertical="center"/>
    </xf>
    <xf numFmtId="0" fontId="8" fillId="0" borderId="11" xfId="1" applyFont="1" applyBorder="1" applyAlignment="1">
      <alignment horizontal="left" vertical="center" wrapText="1"/>
    </xf>
    <xf numFmtId="3" fontId="8" fillId="0" borderId="2" xfId="0" applyNumberFormat="1" applyFont="1" applyFill="1" applyBorder="1" applyAlignment="1">
      <alignment horizontal="center" wrapText="1"/>
    </xf>
    <xf numFmtId="164" fontId="5" fillId="0" borderId="11" xfId="1" applyNumberFormat="1" applyFont="1" applyFill="1" applyBorder="1" applyAlignment="1">
      <alignment horizontal="center"/>
    </xf>
    <xf numFmtId="10" fontId="7" fillId="0" borderId="11" xfId="1" applyNumberFormat="1" applyFont="1" applyFill="1" applyBorder="1" applyAlignment="1">
      <alignment horizontal="center"/>
    </xf>
    <xf numFmtId="0" fontId="10" fillId="0" borderId="5" xfId="0" applyFont="1" applyFill="1" applyBorder="1" applyAlignment="1">
      <alignment horizontal="left" vertical="center" wrapText="1"/>
    </xf>
    <xf numFmtId="1" fontId="8" fillId="0" borderId="22" xfId="1" applyNumberFormat="1" applyFont="1" applyBorder="1" applyAlignment="1">
      <alignment horizontal="center" vertical="center"/>
    </xf>
    <xf numFmtId="0" fontId="8" fillId="0" borderId="23" xfId="1" applyFont="1" applyBorder="1" applyAlignment="1">
      <alignment horizontal="left" vertical="center" wrapText="1"/>
    </xf>
    <xf numFmtId="164" fontId="5" fillId="0" borderId="23" xfId="1" applyNumberFormat="1" applyFont="1" applyFill="1" applyBorder="1" applyAlignment="1">
      <alignment horizontal="center" vertical="center"/>
    </xf>
    <xf numFmtId="10" fontId="7" fillId="0" borderId="23" xfId="1" applyNumberFormat="1" applyFont="1" applyFill="1" applyBorder="1" applyAlignment="1">
      <alignment horizontal="center" vertical="center"/>
    </xf>
    <xf numFmtId="1" fontId="8" fillId="0" borderId="6" xfId="1" applyNumberFormat="1" applyFont="1" applyBorder="1" applyAlignment="1">
      <alignment horizontal="center" vertical="center"/>
    </xf>
    <xf numFmtId="0" fontId="8" fillId="0" borderId="7" xfId="1" applyFont="1" applyBorder="1" applyAlignment="1">
      <alignment horizontal="left" vertical="center" wrapText="1"/>
    </xf>
    <xf numFmtId="164" fontId="8" fillId="0" borderId="7" xfId="1" applyNumberFormat="1" applyFont="1" applyFill="1" applyBorder="1" applyAlignment="1">
      <alignment horizontal="center" vertical="center"/>
    </xf>
    <xf numFmtId="10" fontId="9" fillId="0" borderId="7" xfId="1" applyNumberFormat="1" applyFont="1" applyFill="1" applyBorder="1" applyAlignment="1">
      <alignment horizontal="center" vertical="center"/>
    </xf>
    <xf numFmtId="10" fontId="9" fillId="0" borderId="19" xfId="1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wrapText="1"/>
    </xf>
    <xf numFmtId="0" fontId="4" fillId="0" borderId="17" xfId="1" applyFont="1" applyBorder="1" applyAlignment="1">
      <alignment horizontal="center" vertical="center"/>
    </xf>
    <xf numFmtId="0" fontId="4" fillId="0" borderId="5" xfId="1" applyFont="1" applyBorder="1" applyAlignment="1">
      <alignment horizontal="left" vertical="center" wrapText="1"/>
    </xf>
    <xf numFmtId="1" fontId="8" fillId="0" borderId="14" xfId="1" applyNumberFormat="1" applyFont="1" applyBorder="1" applyAlignment="1">
      <alignment horizontal="center" vertical="center"/>
    </xf>
    <xf numFmtId="0" fontId="8" fillId="0" borderId="15" xfId="1" applyFont="1" applyBorder="1" applyAlignment="1">
      <alignment horizontal="left"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4" fillId="0" borderId="16" xfId="0" applyFont="1" applyFill="1" applyBorder="1" applyAlignment="1">
      <alignment vertical="center" wrapText="1"/>
    </xf>
    <xf numFmtId="0" fontId="9" fillId="0" borderId="5" xfId="0" applyFont="1" applyFill="1" applyBorder="1" applyAlignment="1">
      <alignment horizontal="left"/>
    </xf>
    <xf numFmtId="1" fontId="8" fillId="0" borderId="10" xfId="1" applyNumberFormat="1" applyFont="1" applyFill="1" applyBorder="1" applyAlignment="1">
      <alignment horizontal="center" vertical="center"/>
    </xf>
    <xf numFmtId="43" fontId="7" fillId="0" borderId="16" xfId="0" applyNumberFormat="1" applyFont="1" applyFill="1" applyBorder="1"/>
    <xf numFmtId="10" fontId="7" fillId="0" borderId="16" xfId="0" applyNumberFormat="1" applyFont="1" applyFill="1" applyBorder="1" applyAlignment="1">
      <alignment horizontal="center"/>
    </xf>
    <xf numFmtId="1" fontId="8" fillId="3" borderId="10" xfId="1" applyNumberFormat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left" vertical="center" wrapText="1"/>
    </xf>
    <xf numFmtId="43" fontId="6" fillId="4" borderId="5" xfId="0" applyNumberFormat="1" applyFont="1" applyFill="1" applyBorder="1"/>
    <xf numFmtId="3" fontId="8" fillId="3" borderId="2" xfId="0" applyNumberFormat="1" applyFont="1" applyFill="1" applyBorder="1" applyAlignment="1">
      <alignment horizontal="center" vertical="center" wrapText="1"/>
    </xf>
    <xf numFmtId="164" fontId="5" fillId="5" borderId="11" xfId="1" applyNumberFormat="1" applyFont="1" applyFill="1" applyBorder="1" applyAlignment="1">
      <alignment horizontal="center" vertical="center"/>
    </xf>
    <xf numFmtId="10" fontId="7" fillId="5" borderId="11" xfId="1" applyNumberFormat="1" applyFont="1" applyFill="1" applyBorder="1" applyAlignment="1">
      <alignment horizontal="center" vertical="center"/>
    </xf>
    <xf numFmtId="43" fontId="6" fillId="0" borderId="7" xfId="0" applyNumberFormat="1" applyFont="1" applyFill="1" applyBorder="1"/>
    <xf numFmtId="3" fontId="8" fillId="0" borderId="23" xfId="0" applyNumberFormat="1" applyFont="1" applyFill="1" applyBorder="1" applyAlignment="1">
      <alignment horizontal="center" vertical="center" wrapText="1"/>
    </xf>
    <xf numFmtId="43" fontId="6" fillId="0" borderId="15" xfId="0" applyNumberFormat="1" applyFont="1" applyFill="1" applyBorder="1"/>
    <xf numFmtId="10" fontId="6" fillId="0" borderId="15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1" fontId="8" fillId="0" borderId="5" xfId="1" applyNumberFormat="1" applyFont="1" applyBorder="1" applyAlignment="1">
      <alignment horizontal="center" vertical="center"/>
    </xf>
    <xf numFmtId="3" fontId="8" fillId="0" borderId="5" xfId="0" applyNumberFormat="1" applyFont="1" applyFill="1" applyBorder="1" applyAlignment="1">
      <alignment horizontal="center" vertical="center" wrapText="1"/>
    </xf>
    <xf numFmtId="164" fontId="7" fillId="0" borderId="5" xfId="1" applyNumberFormat="1" applyFont="1" applyFill="1" applyBorder="1" applyAlignment="1">
      <alignment horizontal="center" vertical="center"/>
    </xf>
    <xf numFmtId="10" fontId="7" fillId="0" borderId="5" xfId="1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right" vertical="center"/>
    </xf>
    <xf numFmtId="3" fontId="6" fillId="0" borderId="0" xfId="0" applyNumberFormat="1" applyFont="1"/>
    <xf numFmtId="3" fontId="6" fillId="0" borderId="0" xfId="0" applyNumberFormat="1" applyFont="1" applyFill="1"/>
    <xf numFmtId="3" fontId="7" fillId="0" borderId="0" xfId="0" applyNumberFormat="1" applyFont="1" applyFill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/>
    </xf>
    <xf numFmtId="41" fontId="4" fillId="0" borderId="0" xfId="0" applyNumberFormat="1" applyFont="1" applyFill="1" applyAlignment="1">
      <alignment wrapText="1"/>
    </xf>
    <xf numFmtId="0" fontId="10" fillId="0" borderId="0" xfId="0" applyFont="1"/>
    <xf numFmtId="0" fontId="0" fillId="0" borderId="5" xfId="0" applyBorder="1" applyAlignment="1">
      <alignment wrapText="1"/>
    </xf>
    <xf numFmtId="0" fontId="0" fillId="0" borderId="5" xfId="0" applyBorder="1"/>
    <xf numFmtId="43" fontId="0" fillId="0" borderId="5" xfId="0" applyNumberFormat="1" applyBorder="1"/>
    <xf numFmtId="43" fontId="3" fillId="0" borderId="5" xfId="0" applyNumberFormat="1" applyFont="1" applyBorder="1"/>
    <xf numFmtId="43" fontId="0" fillId="0" borderId="5" xfId="0" applyNumberFormat="1" applyFill="1" applyBorder="1"/>
    <xf numFmtId="0" fontId="0" fillId="0" borderId="5" xfId="0" applyFill="1" applyBorder="1"/>
    <xf numFmtId="0" fontId="13" fillId="0" borderId="0" xfId="0" applyFont="1"/>
    <xf numFmtId="0" fontId="0" fillId="0" borderId="5" xfId="0" applyFill="1" applyBorder="1" applyAlignment="1">
      <alignment wrapText="1"/>
    </xf>
    <xf numFmtId="43" fontId="0" fillId="0" borderId="0" xfId="0" applyNumberFormat="1"/>
    <xf numFmtId="0" fontId="0" fillId="0" borderId="0" xfId="0" applyBorder="1"/>
    <xf numFmtId="43" fontId="0" fillId="0" borderId="0" xfId="0" applyNumberFormat="1" applyBorder="1"/>
    <xf numFmtId="0" fontId="0" fillId="0" borderId="5" xfId="0" applyBorder="1" applyAlignment="1">
      <alignment horizontal="center" wrapText="1"/>
    </xf>
    <xf numFmtId="165" fontId="0" fillId="0" borderId="5" xfId="0" applyNumberFormat="1" applyBorder="1" applyAlignment="1">
      <alignment horizontal="right"/>
    </xf>
    <xf numFmtId="4" fontId="0" fillId="0" borderId="5" xfId="0" applyNumberFormat="1" applyBorder="1"/>
    <xf numFmtId="166" fontId="0" fillId="0" borderId="5" xfId="0" applyNumberFormat="1" applyBorder="1" applyAlignment="1">
      <alignment horizontal="right"/>
    </xf>
    <xf numFmtId="4" fontId="3" fillId="0" borderId="5" xfId="0" applyNumberFormat="1" applyFont="1" applyBorder="1"/>
    <xf numFmtId="4" fontId="1" fillId="0" borderId="5" xfId="0" applyNumberFormat="1" applyFont="1" applyBorder="1"/>
    <xf numFmtId="0" fontId="0" fillId="0" borderId="5" xfId="0" applyBorder="1" applyAlignment="1">
      <alignment vertical="top" wrapText="1"/>
    </xf>
    <xf numFmtId="2" fontId="0" fillId="0" borderId="5" xfId="0" applyNumberFormat="1" applyBorder="1"/>
    <xf numFmtId="0" fontId="0" fillId="0" borderId="0" xfId="0" applyFill="1" applyBorder="1"/>
    <xf numFmtId="43" fontId="9" fillId="0" borderId="5" xfId="0" applyNumberFormat="1" applyFont="1" applyFill="1" applyBorder="1" applyAlignment="1">
      <alignment horizontal="center"/>
    </xf>
    <xf numFmtId="43" fontId="9" fillId="0" borderId="5" xfId="0" applyNumberFormat="1" applyFont="1" applyFill="1" applyBorder="1"/>
    <xf numFmtId="43" fontId="7" fillId="0" borderId="5" xfId="0" applyNumberFormat="1" applyFont="1" applyFill="1" applyBorder="1"/>
    <xf numFmtId="43" fontId="7" fillId="0" borderId="7" xfId="0" applyNumberFormat="1" applyFont="1" applyFill="1" applyBorder="1"/>
    <xf numFmtId="4" fontId="5" fillId="0" borderId="0" xfId="0" applyNumberFormat="1" applyFont="1" applyFill="1" applyBorder="1" applyAlignment="1">
      <alignment vertical="center" wrapText="1"/>
    </xf>
    <xf numFmtId="2" fontId="4" fillId="0" borderId="0" xfId="0" applyNumberFormat="1" applyFont="1"/>
    <xf numFmtId="0" fontId="4" fillId="0" borderId="5" xfId="0" applyFont="1" applyBorder="1"/>
    <xf numFmtId="43" fontId="4" fillId="0" borderId="5" xfId="0" applyNumberFormat="1" applyFont="1" applyBorder="1"/>
    <xf numFmtId="14" fontId="4" fillId="0" borderId="5" xfId="0" applyNumberFormat="1" applyFont="1" applyBorder="1"/>
    <xf numFmtId="0" fontId="14" fillId="0" borderId="0" xfId="0" applyFont="1"/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0" fontId="4" fillId="0" borderId="5" xfId="0" applyNumberFormat="1" applyFont="1" applyBorder="1"/>
    <xf numFmtId="40" fontId="4" fillId="6" borderId="5" xfId="0" applyNumberFormat="1" applyFont="1" applyFill="1" applyBorder="1"/>
    <xf numFmtId="40" fontId="4" fillId="0" borderId="5" xfId="0" applyNumberFormat="1" applyFont="1" applyFill="1" applyBorder="1"/>
    <xf numFmtId="0" fontId="4" fillId="0" borderId="5" xfId="0" applyFont="1" applyBorder="1" applyAlignment="1">
      <alignment wrapText="1"/>
    </xf>
    <xf numFmtId="14" fontId="4" fillId="0" borderId="5" xfId="0" applyNumberFormat="1" applyFont="1" applyBorder="1" applyAlignment="1">
      <alignment wrapText="1"/>
    </xf>
    <xf numFmtId="0" fontId="15" fillId="0" borderId="0" xfId="0" applyFont="1"/>
    <xf numFmtId="40" fontId="9" fillId="0" borderId="5" xfId="0" applyNumberFormat="1" applyFont="1" applyBorder="1"/>
    <xf numFmtId="0" fontId="14" fillId="0" borderId="0" xfId="0" applyFont="1" applyAlignment="1">
      <alignment wrapText="1"/>
    </xf>
    <xf numFmtId="2" fontId="4" fillId="0" borderId="5" xfId="0" applyNumberFormat="1" applyFont="1" applyBorder="1"/>
    <xf numFmtId="40" fontId="4" fillId="0" borderId="5" xfId="0" applyNumberFormat="1" applyFont="1" applyFill="1" applyBorder="1" applyAlignment="1">
      <alignment horizontal="center" vertical="center"/>
    </xf>
    <xf numFmtId="167" fontId="14" fillId="0" borderId="0" xfId="0" applyNumberFormat="1" applyFont="1"/>
    <xf numFmtId="0" fontId="4" fillId="0" borderId="7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left" wrapText="1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16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40" fontId="4" fillId="0" borderId="5" xfId="0" applyNumberFormat="1" applyFont="1" applyFill="1" applyBorder="1" applyAlignment="1">
      <alignment horizontal="center" vertic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</cellXfs>
  <cellStyles count="2">
    <cellStyle name="Обычный" xfId="0" builtinId="0"/>
    <cellStyle name="Обычный 2" xfId="1" xr:uid="{ACF4DA6F-CC61-4C8B-8572-1FECBF96CE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57"/>
  <sheetViews>
    <sheetView topLeftCell="B37" zoomScaleNormal="100" workbookViewId="0">
      <selection activeCell="I11" sqref="I11"/>
    </sheetView>
  </sheetViews>
  <sheetFormatPr defaultRowHeight="15.75" x14ac:dyDescent="0.25"/>
  <cols>
    <col min="1" max="1" width="1.7109375" style="1" customWidth="1"/>
    <col min="2" max="2" width="3.85546875" style="1" bestFit="1" customWidth="1"/>
    <col min="3" max="3" width="78" style="1" customWidth="1"/>
    <col min="4" max="4" width="17.85546875" style="1" bestFit="1" customWidth="1"/>
    <col min="5" max="5" width="17.5703125" style="1" customWidth="1"/>
    <col min="6" max="6" width="13.28515625" style="1" bestFit="1" customWidth="1"/>
    <col min="7" max="7" width="12.85546875" style="1" bestFit="1" customWidth="1"/>
    <col min="8" max="8" width="16.85546875" style="1" customWidth="1"/>
    <col min="9" max="9" width="16.5703125" style="1" bestFit="1" customWidth="1"/>
    <col min="10" max="10" width="15.140625" style="2" customWidth="1"/>
    <col min="11" max="11" width="54.140625" style="1" bestFit="1" customWidth="1"/>
    <col min="12" max="16384" width="9.140625" style="1"/>
  </cols>
  <sheetData>
    <row r="1" spans="2:13" ht="16.5" thickBot="1" x14ac:dyDescent="0.3"/>
    <row r="2" spans="2:13" ht="15.75" customHeight="1" x14ac:dyDescent="0.25">
      <c r="B2" s="151" t="s">
        <v>0</v>
      </c>
      <c r="C2" s="152"/>
      <c r="D2" s="155">
        <v>2024</v>
      </c>
      <c r="E2" s="155"/>
      <c r="F2" s="156" t="s">
        <v>1</v>
      </c>
      <c r="G2" s="156"/>
      <c r="H2" s="3">
        <v>2025</v>
      </c>
      <c r="I2" s="157" t="s">
        <v>2</v>
      </c>
      <c r="J2" s="158"/>
      <c r="K2" s="159" t="s">
        <v>3</v>
      </c>
      <c r="M2" s="2"/>
    </row>
    <row r="3" spans="2:13" ht="16.5" thickBot="1" x14ac:dyDescent="0.3">
      <c r="B3" s="153"/>
      <c r="C3" s="154"/>
      <c r="D3" s="4" t="s">
        <v>4</v>
      </c>
      <c r="E3" s="5" t="s">
        <v>5</v>
      </c>
      <c r="F3" s="6" t="s">
        <v>6</v>
      </c>
      <c r="G3" s="6" t="s">
        <v>7</v>
      </c>
      <c r="H3" s="7" t="s">
        <v>8</v>
      </c>
      <c r="I3" s="8" t="s">
        <v>9</v>
      </c>
      <c r="J3" s="9" t="s">
        <v>10</v>
      </c>
      <c r="K3" s="159"/>
      <c r="M3" s="2"/>
    </row>
    <row r="4" spans="2:13" ht="16.5" thickBot="1" x14ac:dyDescent="0.3">
      <c r="B4" s="161" t="s">
        <v>11</v>
      </c>
      <c r="C4" s="162"/>
      <c r="D4" s="10">
        <f>D5+D12+D10+D11+D13+D14+D17+D16+D15+D18+D19+D25+D26+D31+D32+D39+D42+D43+D44+D46+D47+D45</f>
        <v>11417161.869834719</v>
      </c>
      <c r="E4" s="10">
        <f>E5+E12+E10+E11+E13+E14+E17+E16+E15+E18+E19+E25+E26+E31+E32+E39+E42+E43+E44+E46+E47+E45</f>
        <v>11382678.67</v>
      </c>
      <c r="F4" s="11">
        <f>D4-E4</f>
        <v>34483.1998347193</v>
      </c>
      <c r="G4" s="12">
        <f>E4/D4</f>
        <v>0.99697970474380093</v>
      </c>
      <c r="H4" s="10">
        <f>H5+H12+H10+H11+H13+H14+H17+H16+H15+H18+H19+H25+H26+H31+H32+H39+H42+H43+H44+H46+H47+H45</f>
        <v>12617742.11816</v>
      </c>
      <c r="I4" s="13">
        <f>H4-D4</f>
        <v>1200580.2483252808</v>
      </c>
      <c r="J4" s="14">
        <f>H4/D4</f>
        <v>1.1051557525427869</v>
      </c>
      <c r="K4" s="160"/>
      <c r="M4" s="2"/>
    </row>
    <row r="5" spans="2:13" ht="16.5" thickBot="1" x14ac:dyDescent="0.3">
      <c r="B5" s="15">
        <v>1</v>
      </c>
      <c r="C5" s="16" t="s">
        <v>12</v>
      </c>
      <c r="D5" s="17">
        <v>275780.82983472</v>
      </c>
      <c r="E5" s="18">
        <v>302760.66000000003</v>
      </c>
      <c r="F5" s="19">
        <f>D5-E5</f>
        <v>-26979.830165280029</v>
      </c>
      <c r="G5" s="20">
        <f t="shared" ref="G5:G47" si="0">E5/D5</f>
        <v>1.0978306946913223</v>
      </c>
      <c r="H5" s="17">
        <f>H6+H7+H8</f>
        <v>292164.99815999996</v>
      </c>
      <c r="I5" s="17">
        <f>H5-D5</f>
        <v>16384.168325279956</v>
      </c>
      <c r="J5" s="21">
        <f>H5/D5</f>
        <v>1.059410105971105</v>
      </c>
      <c r="K5" s="148" t="s">
        <v>112</v>
      </c>
      <c r="M5" s="2"/>
    </row>
    <row r="6" spans="2:13" ht="16.5" thickBot="1" x14ac:dyDescent="0.3">
      <c r="B6" s="22" t="s">
        <v>13</v>
      </c>
      <c r="C6" s="23" t="s">
        <v>14</v>
      </c>
      <c r="D6" s="24">
        <v>211813.23335999998</v>
      </c>
      <c r="E6" s="25">
        <v>232281.66</v>
      </c>
      <c r="F6" s="26">
        <f>D6-E6</f>
        <v>-20468.42664000002</v>
      </c>
      <c r="G6" s="27">
        <f t="shared" si="0"/>
        <v>1.0966343146521524</v>
      </c>
      <c r="H6" s="126">
        <v>224397.08</v>
      </c>
      <c r="I6" s="28">
        <f t="shared" ref="I6:I47" si="1">H6-D6</f>
        <v>12583.846640000003</v>
      </c>
      <c r="J6" s="29">
        <f t="shared" ref="J6:J47" si="2">H6/D6</f>
        <v>1.059410105971105</v>
      </c>
      <c r="K6" s="149"/>
      <c r="M6" s="2"/>
    </row>
    <row r="7" spans="2:13" ht="16.5" thickBot="1" x14ac:dyDescent="0.3">
      <c r="B7" s="30" t="s">
        <v>13</v>
      </c>
      <c r="C7" s="31" t="s">
        <v>15</v>
      </c>
      <c r="D7" s="24">
        <v>63967.596474719991</v>
      </c>
      <c r="E7" s="25">
        <v>70479</v>
      </c>
      <c r="F7" s="32">
        <f>D7-E7</f>
        <v>-6511.4035252800095</v>
      </c>
      <c r="G7" s="33">
        <f t="shared" si="0"/>
        <v>1.1017922179998325</v>
      </c>
      <c r="H7" s="126">
        <f>(H6+H8)*0.302</f>
        <v>67767.918160000001</v>
      </c>
      <c r="I7" s="28">
        <f t="shared" si="1"/>
        <v>3800.3216852800106</v>
      </c>
      <c r="J7" s="29">
        <f t="shared" si="2"/>
        <v>1.0594101059711052</v>
      </c>
      <c r="K7" s="149"/>
      <c r="M7" s="2"/>
    </row>
    <row r="8" spans="2:13" ht="16.5" thickBot="1" x14ac:dyDescent="0.3">
      <c r="B8" s="34" t="s">
        <v>13</v>
      </c>
      <c r="C8" s="35" t="s">
        <v>16</v>
      </c>
      <c r="D8" s="36"/>
      <c r="E8" s="25">
        <v>0</v>
      </c>
      <c r="F8" s="37">
        <f>D8-E8</f>
        <v>0</v>
      </c>
      <c r="G8" s="38"/>
      <c r="H8" s="125"/>
      <c r="I8" s="28">
        <f t="shared" si="1"/>
        <v>0</v>
      </c>
      <c r="J8" s="29"/>
      <c r="K8" s="150"/>
      <c r="M8" s="2"/>
    </row>
    <row r="9" spans="2:13" ht="16.5" thickBot="1" x14ac:dyDescent="0.3">
      <c r="B9" s="39"/>
      <c r="C9" s="40"/>
      <c r="D9" s="24"/>
      <c r="E9" s="25"/>
      <c r="F9" s="41"/>
      <c r="G9" s="42"/>
      <c r="H9" s="126"/>
      <c r="I9" s="28">
        <f t="shared" si="1"/>
        <v>0</v>
      </c>
      <c r="J9" s="29"/>
      <c r="K9" s="43"/>
      <c r="M9" s="2"/>
    </row>
    <row r="10" spans="2:13" ht="16.5" thickBot="1" x14ac:dyDescent="0.3">
      <c r="B10" s="44">
        <v>2</v>
      </c>
      <c r="C10" s="45" t="s">
        <v>17</v>
      </c>
      <c r="D10" s="46">
        <v>4803155</v>
      </c>
      <c r="E10" s="25">
        <v>4803155</v>
      </c>
      <c r="F10" s="47">
        <f t="shared" ref="F10:F47" si="3">D10-E10</f>
        <v>0</v>
      </c>
      <c r="G10" s="48">
        <f t="shared" si="0"/>
        <v>1</v>
      </c>
      <c r="H10" s="127">
        <v>5948362</v>
      </c>
      <c r="I10" s="17">
        <f t="shared" si="1"/>
        <v>1145207</v>
      </c>
      <c r="J10" s="21">
        <f t="shared" si="2"/>
        <v>1.2384280748799488</v>
      </c>
      <c r="K10" s="148" t="s">
        <v>111</v>
      </c>
      <c r="M10" s="2"/>
    </row>
    <row r="11" spans="2:13" ht="16.5" thickBot="1" x14ac:dyDescent="0.3">
      <c r="B11" s="49" t="s">
        <v>18</v>
      </c>
      <c r="C11" s="50" t="s">
        <v>19</v>
      </c>
      <c r="D11" s="46">
        <v>396050</v>
      </c>
      <c r="E11" s="25">
        <v>396050</v>
      </c>
      <c r="F11" s="51">
        <f t="shared" si="3"/>
        <v>0</v>
      </c>
      <c r="G11" s="52">
        <f t="shared" si="0"/>
        <v>1</v>
      </c>
      <c r="H11" s="127">
        <v>490600</v>
      </c>
      <c r="I11" s="17">
        <f t="shared" si="1"/>
        <v>94550</v>
      </c>
      <c r="J11" s="21">
        <f t="shared" si="2"/>
        <v>1.2387324832723141</v>
      </c>
      <c r="K11" s="150"/>
      <c r="M11" s="2"/>
    </row>
    <row r="12" spans="2:13" ht="63.75" thickBot="1" x14ac:dyDescent="0.3">
      <c r="B12" s="53">
        <v>3</v>
      </c>
      <c r="C12" s="54" t="s">
        <v>20</v>
      </c>
      <c r="D12" s="46">
        <v>30000</v>
      </c>
      <c r="E12" s="25">
        <v>20994.13</v>
      </c>
      <c r="F12" s="51">
        <f t="shared" si="3"/>
        <v>9005.869999999999</v>
      </c>
      <c r="G12" s="52">
        <f t="shared" si="0"/>
        <v>0.69980433333333336</v>
      </c>
      <c r="H12" s="127">
        <v>30000</v>
      </c>
      <c r="I12" s="17">
        <f t="shared" si="1"/>
        <v>0</v>
      </c>
      <c r="J12" s="21">
        <f t="shared" si="2"/>
        <v>1</v>
      </c>
      <c r="K12" s="68" t="s">
        <v>124</v>
      </c>
      <c r="M12" s="2"/>
    </row>
    <row r="13" spans="2:13" ht="32.25" thickBot="1" x14ac:dyDescent="0.3">
      <c r="B13" s="53">
        <v>4</v>
      </c>
      <c r="C13" s="54" t="s">
        <v>21</v>
      </c>
      <c r="D13" s="46">
        <v>35000</v>
      </c>
      <c r="E13" s="25">
        <v>33356.979999999996</v>
      </c>
      <c r="F13" s="51">
        <f t="shared" si="3"/>
        <v>1643.0200000000041</v>
      </c>
      <c r="G13" s="52">
        <f t="shared" si="0"/>
        <v>0.95305657142857136</v>
      </c>
      <c r="H13" s="127">
        <v>37000</v>
      </c>
      <c r="I13" s="17">
        <f t="shared" si="1"/>
        <v>2000</v>
      </c>
      <c r="J13" s="21">
        <f>H13/D13</f>
        <v>1.0571428571428572</v>
      </c>
      <c r="K13" s="68" t="s">
        <v>127</v>
      </c>
      <c r="M13" s="2"/>
    </row>
    <row r="14" spans="2:13" ht="48" thickBot="1" x14ac:dyDescent="0.3">
      <c r="B14" s="53">
        <v>5</v>
      </c>
      <c r="C14" s="54" t="s">
        <v>22</v>
      </c>
      <c r="D14" s="46">
        <v>70000</v>
      </c>
      <c r="E14" s="25">
        <v>69889</v>
      </c>
      <c r="F14" s="51">
        <f>D14-E14</f>
        <v>111</v>
      </c>
      <c r="G14" s="52">
        <f t="shared" si="0"/>
        <v>0.9984142857142857</v>
      </c>
      <c r="H14" s="127">
        <v>105000</v>
      </c>
      <c r="I14" s="17">
        <f t="shared" si="1"/>
        <v>35000</v>
      </c>
      <c r="J14" s="21">
        <f t="shared" si="2"/>
        <v>1.5</v>
      </c>
      <c r="K14" s="68" t="s">
        <v>128</v>
      </c>
      <c r="M14" s="2"/>
    </row>
    <row r="15" spans="2:13" ht="16.5" thickBot="1" x14ac:dyDescent="0.3">
      <c r="B15" s="53">
        <v>6</v>
      </c>
      <c r="C15" s="54" t="s">
        <v>23</v>
      </c>
      <c r="D15" s="46">
        <v>0</v>
      </c>
      <c r="E15" s="25">
        <v>0</v>
      </c>
      <c r="F15" s="51">
        <f t="shared" si="3"/>
        <v>0</v>
      </c>
      <c r="G15" s="52"/>
      <c r="H15" s="127">
        <v>0</v>
      </c>
      <c r="I15" s="17">
        <f t="shared" si="1"/>
        <v>0</v>
      </c>
      <c r="J15" s="21"/>
      <c r="K15" s="43"/>
      <c r="M15" s="2"/>
    </row>
    <row r="16" spans="2:13" ht="16.5" thickBot="1" x14ac:dyDescent="0.3">
      <c r="B16" s="53">
        <v>7</v>
      </c>
      <c r="C16" s="54" t="s">
        <v>24</v>
      </c>
      <c r="D16" s="46">
        <v>0</v>
      </c>
      <c r="E16" s="25">
        <v>0</v>
      </c>
      <c r="F16" s="51">
        <f t="shared" si="3"/>
        <v>0</v>
      </c>
      <c r="G16" s="52"/>
      <c r="H16" s="127">
        <v>0</v>
      </c>
      <c r="I16" s="17">
        <f t="shared" si="1"/>
        <v>0</v>
      </c>
      <c r="J16" s="21"/>
      <c r="K16" s="43"/>
      <c r="M16" s="2"/>
    </row>
    <row r="17" spans="2:13" ht="16.5" thickBot="1" x14ac:dyDescent="0.3">
      <c r="B17" s="53">
        <v>8</v>
      </c>
      <c r="C17" s="54" t="s">
        <v>25</v>
      </c>
      <c r="D17" s="46">
        <v>121000</v>
      </c>
      <c r="E17" s="25">
        <v>121000</v>
      </c>
      <c r="F17" s="51">
        <f t="shared" si="3"/>
        <v>0</v>
      </c>
      <c r="G17" s="52">
        <f t="shared" si="0"/>
        <v>1</v>
      </c>
      <c r="H17" s="127">
        <v>135000</v>
      </c>
      <c r="I17" s="17">
        <f t="shared" si="1"/>
        <v>14000</v>
      </c>
      <c r="J17" s="21">
        <f t="shared" si="2"/>
        <v>1.115702479338843</v>
      </c>
      <c r="K17" s="43" t="s">
        <v>109</v>
      </c>
      <c r="M17" s="2"/>
    </row>
    <row r="18" spans="2:13" ht="37.5" customHeight="1" thickBot="1" x14ac:dyDescent="0.3">
      <c r="B18" s="53">
        <v>9</v>
      </c>
      <c r="C18" s="54" t="s">
        <v>26</v>
      </c>
      <c r="D18" s="46">
        <v>551859</v>
      </c>
      <c r="E18" s="55">
        <v>625809.80000000005</v>
      </c>
      <c r="F18" s="56">
        <f t="shared" si="3"/>
        <v>-73950.800000000047</v>
      </c>
      <c r="G18" s="57">
        <f t="shared" si="0"/>
        <v>1.1340030696246688</v>
      </c>
      <c r="H18" s="127">
        <v>640500</v>
      </c>
      <c r="I18" s="17">
        <f t="shared" si="1"/>
        <v>88641</v>
      </c>
      <c r="J18" s="21">
        <f>H18/D18</f>
        <v>1.1606225503253549</v>
      </c>
      <c r="K18" s="58" t="s">
        <v>113</v>
      </c>
      <c r="M18" s="2"/>
    </row>
    <row r="19" spans="2:13" ht="16.5" thickBot="1" x14ac:dyDescent="0.3">
      <c r="B19" s="59">
        <v>10</v>
      </c>
      <c r="C19" s="60" t="s">
        <v>27</v>
      </c>
      <c r="D19" s="46">
        <v>799000</v>
      </c>
      <c r="E19" s="25">
        <v>442405.1</v>
      </c>
      <c r="F19" s="61">
        <f t="shared" si="3"/>
        <v>356594.9</v>
      </c>
      <c r="G19" s="62">
        <f t="shared" si="0"/>
        <v>0.55369849812265326</v>
      </c>
      <c r="H19" s="127">
        <f>H20+H21+H24+H22+H23</f>
        <v>500000</v>
      </c>
      <c r="I19" s="17">
        <f t="shared" si="1"/>
        <v>-299000</v>
      </c>
      <c r="J19" s="21">
        <f t="shared" si="2"/>
        <v>0.62578222778473092</v>
      </c>
      <c r="K19" s="148" t="s">
        <v>125</v>
      </c>
      <c r="M19" s="2"/>
    </row>
    <row r="20" spans="2:13" ht="16.5" thickBot="1" x14ac:dyDescent="0.3">
      <c r="B20" s="22" t="s">
        <v>13</v>
      </c>
      <c r="C20" s="23" t="s">
        <v>28</v>
      </c>
      <c r="D20" s="24">
        <v>200000</v>
      </c>
      <c r="E20" s="25">
        <v>199687.6</v>
      </c>
      <c r="F20" s="26">
        <f t="shared" si="3"/>
        <v>312.39999999999418</v>
      </c>
      <c r="G20" s="27">
        <f t="shared" si="0"/>
        <v>0.99843800000000005</v>
      </c>
      <c r="H20" s="126"/>
      <c r="I20" s="28">
        <f t="shared" si="1"/>
        <v>-200000</v>
      </c>
      <c r="J20" s="29">
        <f>H20/D20</f>
        <v>0</v>
      </c>
      <c r="K20" s="149"/>
      <c r="M20" s="2"/>
    </row>
    <row r="21" spans="2:13" ht="16.5" thickBot="1" x14ac:dyDescent="0.3">
      <c r="B21" s="30" t="s">
        <v>13</v>
      </c>
      <c r="C21" s="31" t="s">
        <v>122</v>
      </c>
      <c r="D21" s="24">
        <v>144000</v>
      </c>
      <c r="E21" s="25">
        <v>144000</v>
      </c>
      <c r="F21" s="32">
        <f t="shared" si="3"/>
        <v>0</v>
      </c>
      <c r="G21" s="33">
        <f t="shared" si="0"/>
        <v>1</v>
      </c>
      <c r="H21" s="126">
        <v>290000</v>
      </c>
      <c r="I21" s="28">
        <f t="shared" si="1"/>
        <v>146000</v>
      </c>
      <c r="J21" s="29">
        <f t="shared" si="2"/>
        <v>2.0138888888888888</v>
      </c>
      <c r="K21" s="149"/>
      <c r="M21" s="2"/>
    </row>
    <row r="22" spans="2:13" ht="16.5" thickBot="1" x14ac:dyDescent="0.3">
      <c r="B22" s="63" t="s">
        <v>29</v>
      </c>
      <c r="C22" s="64" t="s">
        <v>30</v>
      </c>
      <c r="D22" s="24">
        <v>345000</v>
      </c>
      <c r="E22" s="25">
        <v>0</v>
      </c>
      <c r="F22" s="65"/>
      <c r="G22" s="66"/>
      <c r="H22" s="126">
        <v>50000</v>
      </c>
      <c r="I22" s="28">
        <f t="shared" si="1"/>
        <v>-295000</v>
      </c>
      <c r="J22" s="29">
        <f t="shared" si="2"/>
        <v>0.14492753623188406</v>
      </c>
      <c r="K22" s="149"/>
      <c r="M22" s="2"/>
    </row>
    <row r="23" spans="2:13" ht="16.5" thickBot="1" x14ac:dyDescent="0.3">
      <c r="B23" s="63" t="s">
        <v>13</v>
      </c>
      <c r="C23" s="64" t="s">
        <v>90</v>
      </c>
      <c r="D23" s="24"/>
      <c r="E23" s="25"/>
      <c r="F23" s="65"/>
      <c r="G23" s="66"/>
      <c r="H23" s="126">
        <v>50000</v>
      </c>
      <c r="I23" s="28"/>
      <c r="J23" s="29"/>
      <c r="K23" s="149"/>
      <c r="M23" s="2"/>
    </row>
    <row r="24" spans="2:13" ht="16.5" thickBot="1" x14ac:dyDescent="0.3">
      <c r="B24" s="34" t="s">
        <v>13</v>
      </c>
      <c r="C24" s="35" t="s">
        <v>31</v>
      </c>
      <c r="D24" s="24">
        <v>110000</v>
      </c>
      <c r="E24" s="25">
        <v>98718</v>
      </c>
      <c r="F24" s="37">
        <f t="shared" si="3"/>
        <v>11282</v>
      </c>
      <c r="G24" s="67">
        <v>0</v>
      </c>
      <c r="H24" s="126">
        <v>110000</v>
      </c>
      <c r="I24" s="28">
        <f t="shared" si="1"/>
        <v>0</v>
      </c>
      <c r="J24" s="29">
        <f t="shared" si="2"/>
        <v>1</v>
      </c>
      <c r="K24" s="150"/>
      <c r="M24" s="2"/>
    </row>
    <row r="25" spans="2:13" ht="29.25" customHeight="1" thickBot="1" x14ac:dyDescent="0.3">
      <c r="B25" s="39">
        <v>11</v>
      </c>
      <c r="C25" s="40" t="s">
        <v>83</v>
      </c>
      <c r="D25" s="46">
        <v>350000</v>
      </c>
      <c r="E25" s="25">
        <v>294500</v>
      </c>
      <c r="F25" s="47">
        <f t="shared" si="3"/>
        <v>55500</v>
      </c>
      <c r="G25" s="48">
        <f t="shared" si="0"/>
        <v>0.84142857142857141</v>
      </c>
      <c r="H25" s="127">
        <v>0</v>
      </c>
      <c r="I25" s="17">
        <f t="shared" si="1"/>
        <v>-350000</v>
      </c>
      <c r="J25" s="21">
        <f t="shared" si="2"/>
        <v>0</v>
      </c>
      <c r="K25" s="68" t="s">
        <v>126</v>
      </c>
      <c r="M25" s="2"/>
    </row>
    <row r="26" spans="2:13" ht="32.25" thickBot="1" x14ac:dyDescent="0.3">
      <c r="B26" s="59">
        <v>12</v>
      </c>
      <c r="C26" s="60" t="s">
        <v>32</v>
      </c>
      <c r="D26" s="46"/>
      <c r="E26" s="25">
        <v>631100</v>
      </c>
      <c r="F26" s="61">
        <f t="shared" si="3"/>
        <v>-631100</v>
      </c>
      <c r="G26" s="48"/>
      <c r="H26" s="127">
        <f>H27+H28+H29+H30</f>
        <v>0</v>
      </c>
      <c r="I26" s="17">
        <f t="shared" si="1"/>
        <v>0</v>
      </c>
      <c r="J26" s="21"/>
      <c r="K26" s="148" t="s">
        <v>110</v>
      </c>
      <c r="M26" s="2"/>
    </row>
    <row r="27" spans="2:13" ht="16.5" thickBot="1" x14ac:dyDescent="0.3">
      <c r="B27" s="22" t="s">
        <v>13</v>
      </c>
      <c r="C27" s="23" t="s">
        <v>33</v>
      </c>
      <c r="D27" s="24"/>
      <c r="E27" s="25">
        <v>384150</v>
      </c>
      <c r="F27" s="26">
        <f t="shared" si="3"/>
        <v>-384150</v>
      </c>
      <c r="G27" s="27"/>
      <c r="H27" s="126"/>
      <c r="I27" s="28">
        <f t="shared" si="1"/>
        <v>0</v>
      </c>
      <c r="J27" s="29"/>
      <c r="K27" s="149"/>
      <c r="M27" s="2"/>
    </row>
    <row r="28" spans="2:13" ht="16.5" thickBot="1" x14ac:dyDescent="0.3">
      <c r="B28" s="30" t="s">
        <v>13</v>
      </c>
      <c r="C28" s="31"/>
      <c r="D28" s="24"/>
      <c r="E28" s="25">
        <v>0</v>
      </c>
      <c r="F28" s="32">
        <f t="shared" si="3"/>
        <v>0</v>
      </c>
      <c r="G28" s="33"/>
      <c r="H28" s="126"/>
      <c r="I28" s="28">
        <f t="shared" si="1"/>
        <v>0</v>
      </c>
      <c r="J28" s="29"/>
      <c r="K28" s="149"/>
      <c r="M28" s="2"/>
    </row>
    <row r="29" spans="2:13" ht="16.5" thickBot="1" x14ac:dyDescent="0.3">
      <c r="B29" s="69" t="s">
        <v>13</v>
      </c>
      <c r="C29" s="70" t="s">
        <v>130</v>
      </c>
      <c r="D29" s="24">
        <v>0</v>
      </c>
      <c r="E29" s="25">
        <v>246949.56</v>
      </c>
      <c r="F29" s="32">
        <f t="shared" si="3"/>
        <v>-246949.56</v>
      </c>
      <c r="G29" s="33"/>
      <c r="H29" s="126">
        <v>0</v>
      </c>
      <c r="I29" s="28">
        <f t="shared" si="1"/>
        <v>0</v>
      </c>
      <c r="J29" s="29"/>
      <c r="K29" s="149"/>
      <c r="M29" s="2"/>
    </row>
    <row r="30" spans="2:13" ht="16.5" thickBot="1" x14ac:dyDescent="0.3">
      <c r="B30" s="34" t="s">
        <v>13</v>
      </c>
      <c r="C30" s="35" t="s">
        <v>34</v>
      </c>
      <c r="D30" s="24"/>
      <c r="E30" s="25">
        <v>0</v>
      </c>
      <c r="F30" s="37">
        <f t="shared" si="3"/>
        <v>0</v>
      </c>
      <c r="G30" s="67"/>
      <c r="H30" s="126"/>
      <c r="I30" s="28">
        <f t="shared" si="1"/>
        <v>0</v>
      </c>
      <c r="J30" s="29"/>
      <c r="K30" s="150"/>
      <c r="M30" s="2"/>
    </row>
    <row r="31" spans="2:13" ht="33.75" customHeight="1" thickBot="1" x14ac:dyDescent="0.3">
      <c r="B31" s="39">
        <v>13</v>
      </c>
      <c r="C31" s="40" t="s">
        <v>35</v>
      </c>
      <c r="D31" s="46">
        <v>100000</v>
      </c>
      <c r="E31" s="25">
        <v>58656</v>
      </c>
      <c r="F31" s="47">
        <f t="shared" si="3"/>
        <v>41344</v>
      </c>
      <c r="G31" s="48">
        <f t="shared" si="0"/>
        <v>0.58655999999999997</v>
      </c>
      <c r="H31" s="127">
        <v>0</v>
      </c>
      <c r="I31" s="17">
        <f t="shared" si="1"/>
        <v>-100000</v>
      </c>
      <c r="J31" s="21">
        <f t="shared" si="2"/>
        <v>0</v>
      </c>
      <c r="K31" s="68" t="s">
        <v>51</v>
      </c>
      <c r="M31" s="2"/>
    </row>
    <row r="32" spans="2:13" ht="32.25" thickBot="1" x14ac:dyDescent="0.3">
      <c r="B32" s="59">
        <v>14</v>
      </c>
      <c r="C32" s="60" t="s">
        <v>36</v>
      </c>
      <c r="D32" s="46">
        <v>214600</v>
      </c>
      <c r="E32" s="25">
        <v>87284</v>
      </c>
      <c r="F32" s="61">
        <f t="shared" si="3"/>
        <v>127316</v>
      </c>
      <c r="G32" s="62">
        <f t="shared" si="0"/>
        <v>0.40672879776328053</v>
      </c>
      <c r="H32" s="127">
        <f>H33+H34+H36+H37+H38+H35</f>
        <v>373600</v>
      </c>
      <c r="I32" s="17">
        <f>H32-D32</f>
        <v>159000</v>
      </c>
      <c r="J32" s="21">
        <f>H32/D32</f>
        <v>1.7409133271202237</v>
      </c>
      <c r="K32" s="68"/>
      <c r="M32" s="2"/>
    </row>
    <row r="33" spans="2:13" ht="16.5" thickBot="1" x14ac:dyDescent="0.3">
      <c r="B33" s="22" t="s">
        <v>13</v>
      </c>
      <c r="C33" s="23" t="s">
        <v>37</v>
      </c>
      <c r="D33" s="24">
        <v>61000</v>
      </c>
      <c r="E33" s="25">
        <v>47850</v>
      </c>
      <c r="F33" s="26">
        <f t="shared" si="3"/>
        <v>13150</v>
      </c>
      <c r="G33" s="27">
        <f t="shared" si="0"/>
        <v>0.78442622950819674</v>
      </c>
      <c r="H33" s="126">
        <v>50000</v>
      </c>
      <c r="I33" s="28">
        <f t="shared" si="1"/>
        <v>-11000</v>
      </c>
      <c r="J33" s="29">
        <f t="shared" si="2"/>
        <v>0.81967213114754101</v>
      </c>
      <c r="K33" s="68" t="s">
        <v>51</v>
      </c>
      <c r="M33" s="2"/>
    </row>
    <row r="34" spans="2:13" ht="15.75" customHeight="1" thickBot="1" x14ac:dyDescent="0.3">
      <c r="B34" s="30" t="s">
        <v>13</v>
      </c>
      <c r="C34" s="31" t="s">
        <v>131</v>
      </c>
      <c r="D34" s="24">
        <v>100000</v>
      </c>
      <c r="E34" s="25">
        <v>0</v>
      </c>
      <c r="F34" s="32">
        <f t="shared" si="3"/>
        <v>100000</v>
      </c>
      <c r="G34" s="33">
        <f t="shared" si="0"/>
        <v>0</v>
      </c>
      <c r="H34" s="126">
        <v>220000</v>
      </c>
      <c r="I34" s="28">
        <f t="shared" si="1"/>
        <v>120000</v>
      </c>
      <c r="J34" s="29">
        <f t="shared" si="2"/>
        <v>2.2000000000000002</v>
      </c>
      <c r="K34" s="68" t="s">
        <v>82</v>
      </c>
      <c r="M34" s="2"/>
    </row>
    <row r="35" spans="2:13" ht="15.75" customHeight="1" thickBot="1" x14ac:dyDescent="0.3">
      <c r="B35" s="30" t="s">
        <v>13</v>
      </c>
      <c r="C35" s="31" t="s">
        <v>132</v>
      </c>
      <c r="D35" s="24"/>
      <c r="E35" s="25">
        <v>54000</v>
      </c>
      <c r="F35" s="32"/>
      <c r="G35" s="33"/>
      <c r="H35" s="126">
        <v>50000</v>
      </c>
      <c r="I35" s="28"/>
      <c r="J35" s="29"/>
      <c r="K35" s="68" t="s">
        <v>133</v>
      </c>
      <c r="M35" s="2"/>
    </row>
    <row r="36" spans="2:13" ht="16.5" thickBot="1" x14ac:dyDescent="0.3">
      <c r="B36" s="30" t="s">
        <v>13</v>
      </c>
      <c r="C36" s="31" t="s">
        <v>38</v>
      </c>
      <c r="D36" s="24">
        <v>20000</v>
      </c>
      <c r="E36" s="25">
        <v>7800</v>
      </c>
      <c r="F36" s="32">
        <f t="shared" si="3"/>
        <v>12200</v>
      </c>
      <c r="G36" s="33">
        <f t="shared" si="0"/>
        <v>0.39</v>
      </c>
      <c r="H36" s="126">
        <v>20000</v>
      </c>
      <c r="I36" s="28">
        <f t="shared" si="1"/>
        <v>0</v>
      </c>
      <c r="J36" s="29">
        <f t="shared" si="2"/>
        <v>1</v>
      </c>
      <c r="K36" s="68" t="s">
        <v>51</v>
      </c>
      <c r="M36" s="2"/>
    </row>
    <row r="37" spans="2:13" ht="34.5" customHeight="1" thickBot="1" x14ac:dyDescent="0.3">
      <c r="B37" s="30" t="s">
        <v>13</v>
      </c>
      <c r="C37" s="31" t="s">
        <v>39</v>
      </c>
      <c r="D37" s="24">
        <v>25000</v>
      </c>
      <c r="E37" s="25">
        <v>16884</v>
      </c>
      <c r="F37" s="32">
        <f t="shared" si="3"/>
        <v>8116</v>
      </c>
      <c r="G37" s="33">
        <f t="shared" si="0"/>
        <v>0.67535999999999996</v>
      </c>
      <c r="H37" s="126">
        <v>25000</v>
      </c>
      <c r="I37" s="28">
        <f t="shared" si="1"/>
        <v>0</v>
      </c>
      <c r="J37" s="29">
        <f t="shared" si="2"/>
        <v>1</v>
      </c>
      <c r="K37" s="68" t="s">
        <v>51</v>
      </c>
      <c r="M37" s="2"/>
    </row>
    <row r="38" spans="2:13" ht="16.5" thickBot="1" x14ac:dyDescent="0.3">
      <c r="B38" s="34" t="s">
        <v>13</v>
      </c>
      <c r="C38" s="35" t="s">
        <v>40</v>
      </c>
      <c r="D38" s="24">
        <v>8600</v>
      </c>
      <c r="E38" s="25">
        <v>8600</v>
      </c>
      <c r="F38" s="37">
        <f t="shared" si="3"/>
        <v>0</v>
      </c>
      <c r="G38" s="67">
        <f t="shared" si="0"/>
        <v>1</v>
      </c>
      <c r="H38" s="126">
        <v>8600</v>
      </c>
      <c r="I38" s="28">
        <f t="shared" si="1"/>
        <v>0</v>
      </c>
      <c r="J38" s="29">
        <f t="shared" si="2"/>
        <v>1</v>
      </c>
      <c r="K38" s="68" t="s">
        <v>51</v>
      </c>
      <c r="M38" s="2"/>
    </row>
    <row r="39" spans="2:13" ht="33.75" customHeight="1" thickBot="1" x14ac:dyDescent="0.3">
      <c r="B39" s="71">
        <v>15</v>
      </c>
      <c r="C39" s="72" t="s">
        <v>41</v>
      </c>
      <c r="D39" s="46">
        <v>260000</v>
      </c>
      <c r="E39" s="25">
        <v>261307</v>
      </c>
      <c r="F39" s="19">
        <f t="shared" si="3"/>
        <v>-1307</v>
      </c>
      <c r="G39" s="20">
        <f t="shared" si="0"/>
        <v>1.0050269230769231</v>
      </c>
      <c r="H39" s="127">
        <f>H40+H41</f>
        <v>240000</v>
      </c>
      <c r="I39" s="17">
        <f t="shared" si="1"/>
        <v>-20000</v>
      </c>
      <c r="J39" s="21">
        <f t="shared" si="2"/>
        <v>0.92307692307692313</v>
      </c>
      <c r="K39" s="73"/>
      <c r="M39" s="2"/>
    </row>
    <row r="40" spans="2:13" ht="16.5" thickBot="1" x14ac:dyDescent="0.3">
      <c r="B40" s="22" t="s">
        <v>13</v>
      </c>
      <c r="C40" s="23" t="s">
        <v>42</v>
      </c>
      <c r="D40" s="24">
        <v>120000</v>
      </c>
      <c r="E40" s="25">
        <v>108065</v>
      </c>
      <c r="F40" s="26">
        <f t="shared" si="3"/>
        <v>11935</v>
      </c>
      <c r="G40" s="27">
        <f t="shared" si="0"/>
        <v>0.90054166666666668</v>
      </c>
      <c r="H40" s="126">
        <v>120000</v>
      </c>
      <c r="I40" s="28">
        <f t="shared" si="1"/>
        <v>0</v>
      </c>
      <c r="J40" s="29">
        <f t="shared" si="2"/>
        <v>1</v>
      </c>
      <c r="K40" s="74"/>
      <c r="M40" s="2"/>
    </row>
    <row r="41" spans="2:13" ht="27.75" customHeight="1" thickBot="1" x14ac:dyDescent="0.3">
      <c r="B41" s="34" t="s">
        <v>13</v>
      </c>
      <c r="C41" s="35" t="s">
        <v>43</v>
      </c>
      <c r="D41" s="24">
        <v>140000</v>
      </c>
      <c r="E41" s="25">
        <v>153243</v>
      </c>
      <c r="F41" s="37">
        <f t="shared" si="3"/>
        <v>-13243</v>
      </c>
      <c r="G41" s="67">
        <f t="shared" si="0"/>
        <v>1.0945928571428571</v>
      </c>
      <c r="H41" s="126">
        <v>120000</v>
      </c>
      <c r="I41" s="28">
        <f t="shared" si="1"/>
        <v>-20000</v>
      </c>
      <c r="J41" s="29">
        <f t="shared" si="2"/>
        <v>0.8571428571428571</v>
      </c>
      <c r="K41" s="75"/>
      <c r="M41" s="2"/>
    </row>
    <row r="42" spans="2:13" ht="16.5" thickBot="1" x14ac:dyDescent="0.3">
      <c r="B42" s="39">
        <v>16</v>
      </c>
      <c r="C42" s="40" t="s">
        <v>44</v>
      </c>
      <c r="D42" s="46">
        <v>150000</v>
      </c>
      <c r="E42" s="25">
        <v>125301</v>
      </c>
      <c r="F42" s="47">
        <f t="shared" si="3"/>
        <v>24699</v>
      </c>
      <c r="G42" s="48">
        <f t="shared" si="0"/>
        <v>0.83533999999999997</v>
      </c>
      <c r="H42" s="127">
        <v>150000</v>
      </c>
      <c r="I42" s="17">
        <f t="shared" si="1"/>
        <v>0</v>
      </c>
      <c r="J42" s="21">
        <f t="shared" si="2"/>
        <v>1</v>
      </c>
      <c r="K42" s="76"/>
      <c r="M42" s="2"/>
    </row>
    <row r="43" spans="2:13" ht="28.5" customHeight="1" thickBot="1" x14ac:dyDescent="0.3">
      <c r="B43" s="53">
        <v>17</v>
      </c>
      <c r="C43" s="54" t="s">
        <v>45</v>
      </c>
      <c r="D43" s="46">
        <v>390000</v>
      </c>
      <c r="E43" s="25">
        <v>235494</v>
      </c>
      <c r="F43" s="51">
        <f t="shared" si="3"/>
        <v>154506</v>
      </c>
      <c r="G43" s="52">
        <f t="shared" si="0"/>
        <v>0.60383076923076928</v>
      </c>
      <c r="H43" s="127">
        <v>200000</v>
      </c>
      <c r="I43" s="17">
        <f t="shared" si="1"/>
        <v>-190000</v>
      </c>
      <c r="J43" s="21">
        <f t="shared" si="2"/>
        <v>0.51282051282051277</v>
      </c>
      <c r="K43" s="68" t="s">
        <v>86</v>
      </c>
      <c r="M43" s="2"/>
    </row>
    <row r="44" spans="2:13" ht="16.5" thickBot="1" x14ac:dyDescent="0.3">
      <c r="B44" s="77">
        <v>18</v>
      </c>
      <c r="C44" s="50" t="s">
        <v>46</v>
      </c>
      <c r="D44" s="46">
        <v>2812320</v>
      </c>
      <c r="E44" s="25">
        <v>2812320</v>
      </c>
      <c r="F44" s="51">
        <f t="shared" si="3"/>
        <v>0</v>
      </c>
      <c r="G44" s="52">
        <f t="shared" si="0"/>
        <v>1</v>
      </c>
      <c r="H44" s="127">
        <f>284674*12</f>
        <v>3416088</v>
      </c>
      <c r="I44" s="78">
        <f t="shared" si="1"/>
        <v>603768</v>
      </c>
      <c r="J44" s="79">
        <f t="shared" si="2"/>
        <v>1.2146868066222904</v>
      </c>
      <c r="K44" s="76" t="s">
        <v>52</v>
      </c>
      <c r="M44" s="2"/>
    </row>
    <row r="45" spans="2:13" ht="16.5" thickBot="1" x14ac:dyDescent="0.3">
      <c r="B45" s="80">
        <v>19</v>
      </c>
      <c r="C45" s="81" t="s">
        <v>47</v>
      </c>
      <c r="D45" s="82">
        <v>46397.04</v>
      </c>
      <c r="E45" s="83">
        <v>49163</v>
      </c>
      <c r="F45" s="84">
        <f t="shared" si="3"/>
        <v>-2765.9599999999991</v>
      </c>
      <c r="G45" s="85">
        <f t="shared" si="0"/>
        <v>1.0596150099230468</v>
      </c>
      <c r="H45" s="127">
        <f>12387.12+35040</f>
        <v>47427.12</v>
      </c>
      <c r="I45" s="17">
        <f t="shared" si="1"/>
        <v>1030.0800000000017</v>
      </c>
      <c r="J45" s="21">
        <f t="shared" si="2"/>
        <v>1.0222014162972466</v>
      </c>
      <c r="K45" s="68" t="s">
        <v>87</v>
      </c>
      <c r="M45" s="2"/>
    </row>
    <row r="46" spans="2:13" x14ac:dyDescent="0.25">
      <c r="B46" s="59">
        <v>20</v>
      </c>
      <c r="C46" s="60" t="s">
        <v>48</v>
      </c>
      <c r="D46" s="86"/>
      <c r="E46" s="87">
        <v>3200</v>
      </c>
      <c r="F46" s="61">
        <f t="shared" si="3"/>
        <v>-3200</v>
      </c>
      <c r="G46" s="62"/>
      <c r="H46" s="128"/>
      <c r="I46" s="88">
        <f t="shared" si="1"/>
        <v>0</v>
      </c>
      <c r="J46" s="89"/>
      <c r="K46" s="90"/>
      <c r="M46" s="2"/>
    </row>
    <row r="47" spans="2:13" x14ac:dyDescent="0.25">
      <c r="B47" s="91">
        <v>21</v>
      </c>
      <c r="C47" s="31" t="s">
        <v>49</v>
      </c>
      <c r="D47" s="46">
        <v>12000</v>
      </c>
      <c r="E47" s="92">
        <v>8933</v>
      </c>
      <c r="F47" s="93">
        <f t="shared" si="3"/>
        <v>3067</v>
      </c>
      <c r="G47" s="94">
        <f t="shared" si="0"/>
        <v>0.74441666666666662</v>
      </c>
      <c r="H47" s="127">
        <v>12000</v>
      </c>
      <c r="I47" s="46">
        <f t="shared" si="1"/>
        <v>0</v>
      </c>
      <c r="J47" s="95">
        <f t="shared" si="2"/>
        <v>1</v>
      </c>
      <c r="K47" s="43"/>
      <c r="M47" s="2"/>
    </row>
    <row r="48" spans="2:13" x14ac:dyDescent="0.25">
      <c r="C48" s="98" t="s">
        <v>50</v>
      </c>
      <c r="D48" s="99">
        <v>14600</v>
      </c>
      <c r="E48" s="99"/>
      <c r="F48" s="100"/>
      <c r="G48" s="100"/>
      <c r="H48" s="101"/>
      <c r="I48" s="96"/>
      <c r="J48" s="96"/>
      <c r="K48" s="97"/>
    </row>
    <row r="49" spans="3:11" x14ac:dyDescent="0.25">
      <c r="C49" s="102"/>
      <c r="D49" s="129">
        <v>47.49</v>
      </c>
      <c r="E49" s="1" t="s">
        <v>115</v>
      </c>
      <c r="F49" s="96"/>
      <c r="G49" s="96"/>
      <c r="H49" s="103"/>
      <c r="I49" s="96"/>
      <c r="J49" s="96"/>
      <c r="K49" s="96"/>
    </row>
    <row r="50" spans="3:11" x14ac:dyDescent="0.25">
      <c r="H50" s="130">
        <f>H4/19677.1/12</f>
        <v>53.436660374072744</v>
      </c>
      <c r="I50" s="1" t="s">
        <v>114</v>
      </c>
    </row>
    <row r="51" spans="3:11" x14ac:dyDescent="0.25">
      <c r="C51" s="104"/>
      <c r="H51" s="130">
        <f>H50*100/D49-100</f>
        <v>12.521921191983026</v>
      </c>
      <c r="I51" s="1" t="s">
        <v>116</v>
      </c>
    </row>
    <row r="52" spans="3:11" x14ac:dyDescent="0.25">
      <c r="C52" s="131" t="s">
        <v>123</v>
      </c>
      <c r="D52" s="131" t="s">
        <v>117</v>
      </c>
    </row>
    <row r="53" spans="3:11" x14ac:dyDescent="0.25">
      <c r="C53" s="131" t="s">
        <v>118</v>
      </c>
      <c r="D53" s="132">
        <v>50000</v>
      </c>
    </row>
    <row r="54" spans="3:11" x14ac:dyDescent="0.25">
      <c r="C54" s="131" t="s">
        <v>119</v>
      </c>
      <c r="D54" s="132">
        <v>317580.5</v>
      </c>
    </row>
    <row r="55" spans="3:11" x14ac:dyDescent="0.25">
      <c r="C55" s="131" t="s">
        <v>120</v>
      </c>
      <c r="D55" s="132">
        <v>0</v>
      </c>
    </row>
    <row r="56" spans="3:11" x14ac:dyDescent="0.25">
      <c r="C56" s="131" t="s">
        <v>121</v>
      </c>
      <c r="D56" s="132">
        <v>24000</v>
      </c>
    </row>
    <row r="57" spans="3:11" x14ac:dyDescent="0.25">
      <c r="C57" s="131"/>
      <c r="D57" s="132">
        <f>SUM(D53:D56)</f>
        <v>391580.5</v>
      </c>
    </row>
  </sheetData>
  <mergeCells count="10">
    <mergeCell ref="K5:K8"/>
    <mergeCell ref="K10:K11"/>
    <mergeCell ref="K19:K24"/>
    <mergeCell ref="K26:K30"/>
    <mergeCell ref="B2:C3"/>
    <mergeCell ref="D2:E2"/>
    <mergeCell ref="F2:G2"/>
    <mergeCell ref="I2:J2"/>
    <mergeCell ref="K2:K4"/>
    <mergeCell ref="B4:C4"/>
  </mergeCells>
  <pageMargins left="0.23622047244094491" right="0.23622047244094491" top="0.74803149606299213" bottom="0.74803149606299213" header="0.31496062992125984" footer="0.31496062992125984"/>
  <pageSetup paperSize="9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2CF8A-A5A2-41AB-9ACA-BDAC941C81AB}">
  <dimension ref="A2:K14"/>
  <sheetViews>
    <sheetView workbookViewId="0">
      <selection activeCell="D22" sqref="D22"/>
    </sheetView>
  </sheetViews>
  <sheetFormatPr defaultRowHeight="15" x14ac:dyDescent="0.25"/>
  <cols>
    <col min="1" max="1" width="29.85546875" customWidth="1"/>
    <col min="2" max="2" width="14.85546875" bestFit="1" customWidth="1"/>
    <col min="3" max="3" width="14.140625" customWidth="1"/>
    <col min="4" max="4" width="13.140625" bestFit="1" customWidth="1"/>
    <col min="5" max="5" width="14.5703125" bestFit="1" customWidth="1"/>
    <col min="6" max="6" width="14" customWidth="1"/>
    <col min="7" max="7" width="17.7109375" bestFit="1" customWidth="1"/>
    <col min="8" max="8" width="13.140625" bestFit="1" customWidth="1"/>
    <col min="9" max="9" width="12" bestFit="1" customWidth="1"/>
    <col min="10" max="10" width="14.140625" customWidth="1"/>
    <col min="11" max="11" width="14.5703125" bestFit="1" customWidth="1"/>
  </cols>
  <sheetData>
    <row r="2" spans="1:11" x14ac:dyDescent="0.25">
      <c r="A2" t="s">
        <v>106</v>
      </c>
    </row>
    <row r="4" spans="1:11" ht="30" x14ac:dyDescent="0.25">
      <c r="A4" s="106" t="s">
        <v>53</v>
      </c>
      <c r="B4" s="106" t="s">
        <v>54</v>
      </c>
      <c r="C4" s="116" t="s">
        <v>91</v>
      </c>
      <c r="D4" s="106" t="s">
        <v>92</v>
      </c>
      <c r="E4" s="106" t="s">
        <v>107</v>
      </c>
      <c r="F4" s="105" t="s">
        <v>93</v>
      </c>
      <c r="G4" s="106" t="s">
        <v>94</v>
      </c>
      <c r="H4" s="106" t="s">
        <v>92</v>
      </c>
      <c r="I4" s="116" t="s">
        <v>95</v>
      </c>
      <c r="J4" s="105" t="s">
        <v>96</v>
      </c>
      <c r="K4" s="105" t="s">
        <v>97</v>
      </c>
    </row>
    <row r="5" spans="1:11" x14ac:dyDescent="0.25">
      <c r="A5" s="106" t="s">
        <v>98</v>
      </c>
      <c r="B5" s="106" t="s">
        <v>99</v>
      </c>
      <c r="C5" s="117">
        <v>15805.01</v>
      </c>
      <c r="D5" s="117">
        <v>2055</v>
      </c>
      <c r="E5" s="118">
        <f>C5-D5</f>
        <v>13750.01</v>
      </c>
      <c r="F5" s="118"/>
      <c r="G5" s="117">
        <v>18000</v>
      </c>
      <c r="H5" s="119">
        <v>2340</v>
      </c>
      <c r="I5" s="118">
        <f>G5-H5</f>
        <v>15660</v>
      </c>
      <c r="J5" s="118"/>
      <c r="K5" s="118">
        <f>J5+I5-E5-F5</f>
        <v>1909.9899999999998</v>
      </c>
    </row>
    <row r="6" spans="1:11" x14ac:dyDescent="0.25">
      <c r="A6" s="163" t="s">
        <v>100</v>
      </c>
      <c r="B6" s="163"/>
      <c r="C6" s="118">
        <f>(C5)*12+10000+F5</f>
        <v>199660.12</v>
      </c>
      <c r="D6" s="118"/>
      <c r="E6" s="118"/>
      <c r="F6" s="118"/>
      <c r="G6" s="118">
        <f>(G5)*12+J5</f>
        <v>216000</v>
      </c>
      <c r="H6" s="118"/>
      <c r="I6" s="118"/>
      <c r="J6" s="118"/>
      <c r="K6" s="118"/>
    </row>
    <row r="7" spans="1:11" x14ac:dyDescent="0.25">
      <c r="A7" s="164" t="s">
        <v>101</v>
      </c>
      <c r="B7" s="164"/>
      <c r="C7" s="118">
        <f>C6*0.302</f>
        <v>60297.356239999994</v>
      </c>
      <c r="D7" s="106"/>
      <c r="E7" s="106"/>
      <c r="F7" s="106"/>
      <c r="G7" s="118">
        <f>(G6+E14)*0.302</f>
        <v>67767.929877599992</v>
      </c>
      <c r="H7" s="106"/>
      <c r="I7" s="106"/>
      <c r="J7" s="106"/>
      <c r="K7" s="118"/>
    </row>
    <row r="8" spans="1:11" x14ac:dyDescent="0.25">
      <c r="A8" s="164" t="s">
        <v>102</v>
      </c>
      <c r="B8" s="164"/>
      <c r="C8" s="120">
        <f>C6+C7</f>
        <v>259957.47623999999</v>
      </c>
      <c r="D8" s="106"/>
      <c r="E8" s="106"/>
      <c r="F8" s="106"/>
      <c r="G8" s="121">
        <f>G6+G7</f>
        <v>283767.92987759999</v>
      </c>
      <c r="H8" s="106"/>
      <c r="I8" s="106"/>
      <c r="J8" s="118"/>
      <c r="K8" s="118">
        <f>G8-C8</f>
        <v>23810.453637600003</v>
      </c>
    </row>
    <row r="9" spans="1:11" x14ac:dyDescent="0.25">
      <c r="A9" s="106" t="s">
        <v>103</v>
      </c>
      <c r="B9" s="106"/>
      <c r="C9" s="106"/>
      <c r="D9" s="106"/>
      <c r="E9" s="106"/>
      <c r="F9" s="106"/>
      <c r="G9" s="108">
        <f>G8+E14</f>
        <v>292165.04867759999</v>
      </c>
      <c r="H9" s="106"/>
      <c r="I9" s="106"/>
      <c r="J9" s="106"/>
      <c r="K9" s="107">
        <f>G9-C8</f>
        <v>32207.5724376</v>
      </c>
    </row>
    <row r="11" spans="1:11" x14ac:dyDescent="0.25">
      <c r="A11" t="s">
        <v>104</v>
      </c>
    </row>
    <row r="12" spans="1:11" ht="75" x14ac:dyDescent="0.25">
      <c r="A12" s="106" t="s">
        <v>53</v>
      </c>
      <c r="B12" s="106" t="s">
        <v>54</v>
      </c>
      <c r="C12" s="105" t="s">
        <v>108</v>
      </c>
      <c r="D12" s="122" t="s">
        <v>105</v>
      </c>
      <c r="E12" s="106"/>
      <c r="F12" s="114"/>
    </row>
    <row r="13" spans="1:11" x14ac:dyDescent="0.25">
      <c r="A13" s="106" t="s">
        <v>98</v>
      </c>
      <c r="B13" s="106" t="s">
        <v>99</v>
      </c>
      <c r="C13" s="106">
        <v>12</v>
      </c>
      <c r="D13" s="123">
        <v>537.45000000000005</v>
      </c>
      <c r="E13" s="107">
        <f>C13*D13*1.302</f>
        <v>8397.1188000000002</v>
      </c>
      <c r="F13" s="114"/>
    </row>
    <row r="14" spans="1:11" x14ac:dyDescent="0.25">
      <c r="A14" s="124" t="s">
        <v>77</v>
      </c>
      <c r="E14" s="113">
        <f>E13</f>
        <v>8397.1188000000002</v>
      </c>
    </row>
  </sheetData>
  <mergeCells count="3">
    <mergeCell ref="A6:B6"/>
    <mergeCell ref="A7:B7"/>
    <mergeCell ref="A8:B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2A592-3CFF-44AE-9415-646E8DEC0442}">
  <sheetPr>
    <pageSetUpPr fitToPage="1"/>
  </sheetPr>
  <dimension ref="A1:R27"/>
  <sheetViews>
    <sheetView workbookViewId="0">
      <pane xSplit="2" ySplit="3" topLeftCell="D4" activePane="bottomRight" state="frozen"/>
      <selection pane="topRight" activeCell="C1" sqref="C1"/>
      <selection pane="bottomLeft" activeCell="A4" sqref="A4"/>
      <selection pane="bottomRight" activeCell="B1" sqref="B1"/>
    </sheetView>
  </sheetViews>
  <sheetFormatPr defaultRowHeight="15" x14ac:dyDescent="0.25"/>
  <cols>
    <col min="1" max="1" width="15.85546875" customWidth="1"/>
    <col min="2" max="2" width="18.28515625" customWidth="1"/>
    <col min="3" max="3" width="18.5703125" customWidth="1"/>
    <col min="4" max="4" width="13.140625" bestFit="1" customWidth="1"/>
    <col min="5" max="5" width="21.5703125" customWidth="1"/>
    <col min="6" max="6" width="13.140625" bestFit="1" customWidth="1"/>
    <col min="7" max="7" width="14.5703125" bestFit="1" customWidth="1"/>
    <col min="8" max="8" width="13.140625" bestFit="1" customWidth="1"/>
    <col min="9" max="10" width="14.5703125" bestFit="1" customWidth="1"/>
    <col min="11" max="11" width="15" customWidth="1"/>
    <col min="12" max="12" width="13.140625" customWidth="1"/>
    <col min="13" max="13" width="14.5703125" bestFit="1" customWidth="1"/>
    <col min="14" max="14" width="13.140625" customWidth="1"/>
    <col min="15" max="15" width="15.28515625" customWidth="1"/>
    <col min="16" max="17" width="13" customWidth="1"/>
    <col min="18" max="18" width="9.5703125" bestFit="1" customWidth="1"/>
  </cols>
  <sheetData>
    <row r="1" spans="1:18" x14ac:dyDescent="0.25">
      <c r="A1" t="s">
        <v>81</v>
      </c>
    </row>
    <row r="3" spans="1:18" ht="120" x14ac:dyDescent="0.25">
      <c r="A3" s="105" t="s">
        <v>53</v>
      </c>
      <c r="B3" s="105" t="s">
        <v>54</v>
      </c>
      <c r="C3" s="105" t="s">
        <v>55</v>
      </c>
      <c r="D3" s="105" t="s">
        <v>56</v>
      </c>
      <c r="E3" s="105" t="s">
        <v>57</v>
      </c>
      <c r="F3" s="105" t="s">
        <v>58</v>
      </c>
      <c r="G3" s="105" t="s">
        <v>59</v>
      </c>
      <c r="H3" s="105" t="s">
        <v>60</v>
      </c>
      <c r="I3" s="105" t="s">
        <v>61</v>
      </c>
      <c r="J3" s="105" t="s">
        <v>62</v>
      </c>
      <c r="K3" s="105" t="s">
        <v>63</v>
      </c>
      <c r="L3" s="105" t="s">
        <v>64</v>
      </c>
      <c r="M3" s="105" t="s">
        <v>84</v>
      </c>
      <c r="N3" s="105" t="s">
        <v>85</v>
      </c>
      <c r="O3" s="105" t="s">
        <v>129</v>
      </c>
      <c r="P3" s="105" t="s">
        <v>65</v>
      </c>
      <c r="Q3" s="112" t="s">
        <v>88</v>
      </c>
      <c r="R3" s="112" t="s">
        <v>89</v>
      </c>
    </row>
    <row r="4" spans="1:18" x14ac:dyDescent="0.25">
      <c r="A4" s="106" t="s">
        <v>66</v>
      </c>
      <c r="B4" s="106" t="s">
        <v>67</v>
      </c>
      <c r="C4" s="107">
        <v>75800</v>
      </c>
      <c r="D4" s="107">
        <v>69200</v>
      </c>
      <c r="E4" s="107">
        <v>75800</v>
      </c>
      <c r="F4" s="107">
        <v>69200</v>
      </c>
      <c r="G4" s="107">
        <v>81500</v>
      </c>
      <c r="H4" s="107">
        <v>79200</v>
      </c>
      <c r="I4" s="107">
        <v>90000</v>
      </c>
      <c r="J4" s="107">
        <f>(H4*10%)+H4</f>
        <v>87120</v>
      </c>
      <c r="K4" s="107">
        <v>110000</v>
      </c>
      <c r="L4" s="107">
        <v>104500</v>
      </c>
      <c r="M4" s="107">
        <v>124000</v>
      </c>
      <c r="N4" s="107">
        <v>115000</v>
      </c>
      <c r="O4" s="107">
        <f>M4-K4</f>
        <v>14000</v>
      </c>
      <c r="P4" s="107">
        <f>N4-L4</f>
        <v>10500</v>
      </c>
      <c r="Q4" s="107">
        <f>(M4*100)/K4-100</f>
        <v>12.727272727272734</v>
      </c>
      <c r="R4" s="107">
        <f>(N4*100)/L4-100</f>
        <v>10.047846889952154</v>
      </c>
    </row>
    <row r="5" spans="1:18" x14ac:dyDescent="0.25">
      <c r="A5" s="106" t="s">
        <v>68</v>
      </c>
      <c r="B5" s="106" t="s">
        <v>69</v>
      </c>
      <c r="C5" s="107">
        <v>39400</v>
      </c>
      <c r="D5" s="107">
        <v>36000</v>
      </c>
      <c r="E5" s="107">
        <v>43000</v>
      </c>
      <c r="F5" s="107">
        <v>40100</v>
      </c>
      <c r="G5" s="107">
        <v>53000</v>
      </c>
      <c r="H5" s="107">
        <v>50000</v>
      </c>
      <c r="I5" s="107">
        <v>58400</v>
      </c>
      <c r="J5" s="107">
        <f t="shared" ref="J5:J7" si="0">(H5*10%)+H5</f>
        <v>55000</v>
      </c>
      <c r="K5" s="107">
        <v>70000</v>
      </c>
      <c r="L5" s="107">
        <f t="shared" ref="L5:L7" si="1">(J5*20%)+J5</f>
        <v>66000</v>
      </c>
      <c r="M5" s="107">
        <v>99700</v>
      </c>
      <c r="N5" s="107">
        <v>92400</v>
      </c>
      <c r="O5" s="107">
        <f t="shared" ref="O5:O10" si="2">M5-K5</f>
        <v>29700</v>
      </c>
      <c r="P5" s="107">
        <f t="shared" ref="P5:P10" si="3">N5-L5</f>
        <v>26400</v>
      </c>
      <c r="Q5" s="107">
        <f t="shared" ref="Q5:Q10" si="4">(M5*100)/K5-100</f>
        <v>42.428571428571416</v>
      </c>
      <c r="R5" s="107">
        <f t="shared" ref="R5:R10" si="5">(N5*100)/L5-100</f>
        <v>40</v>
      </c>
    </row>
    <row r="6" spans="1:18" x14ac:dyDescent="0.25">
      <c r="A6" s="106" t="s">
        <v>70</v>
      </c>
      <c r="B6" s="106" t="s">
        <v>71</v>
      </c>
      <c r="C6" s="107">
        <v>39400</v>
      </c>
      <c r="D6" s="107">
        <v>36000</v>
      </c>
      <c r="E6" s="107">
        <v>43000</v>
      </c>
      <c r="F6" s="107">
        <v>40100</v>
      </c>
      <c r="G6" s="107">
        <v>53000</v>
      </c>
      <c r="H6" s="107">
        <v>50000</v>
      </c>
      <c r="I6" s="107">
        <v>58400</v>
      </c>
      <c r="J6" s="107">
        <f t="shared" si="0"/>
        <v>55000</v>
      </c>
      <c r="K6" s="107">
        <v>70000</v>
      </c>
      <c r="L6" s="107">
        <f>(J6*20%)+J6</f>
        <v>66000</v>
      </c>
      <c r="M6" s="107">
        <v>99700</v>
      </c>
      <c r="N6" s="107">
        <v>92400</v>
      </c>
      <c r="O6" s="107">
        <f t="shared" si="2"/>
        <v>29700</v>
      </c>
      <c r="P6" s="107">
        <f t="shared" si="3"/>
        <v>26400</v>
      </c>
      <c r="Q6" s="107">
        <f t="shared" si="4"/>
        <v>42.428571428571416</v>
      </c>
      <c r="R6" s="107">
        <f t="shared" si="5"/>
        <v>40</v>
      </c>
    </row>
    <row r="7" spans="1:18" x14ac:dyDescent="0.25">
      <c r="A7" s="106" t="s">
        <v>72</v>
      </c>
      <c r="B7" s="106" t="s">
        <v>73</v>
      </c>
      <c r="C7" s="107">
        <v>31300</v>
      </c>
      <c r="D7" s="107">
        <v>27400</v>
      </c>
      <c r="E7" s="107">
        <v>32000</v>
      </c>
      <c r="F7" s="107">
        <v>30150</v>
      </c>
      <c r="G7" s="107">
        <v>43600</v>
      </c>
      <c r="H7" s="107">
        <v>40000</v>
      </c>
      <c r="I7" s="107">
        <v>47500</v>
      </c>
      <c r="J7" s="107">
        <f t="shared" si="0"/>
        <v>44000</v>
      </c>
      <c r="K7" s="107">
        <v>57000</v>
      </c>
      <c r="L7" s="107">
        <f t="shared" si="1"/>
        <v>52800</v>
      </c>
      <c r="M7" s="107">
        <v>75900</v>
      </c>
      <c r="N7" s="107">
        <v>70200</v>
      </c>
      <c r="O7" s="107">
        <f t="shared" si="2"/>
        <v>18900</v>
      </c>
      <c r="P7" s="107">
        <f t="shared" si="3"/>
        <v>17400</v>
      </c>
      <c r="Q7" s="107">
        <f t="shared" si="4"/>
        <v>33.15789473684211</v>
      </c>
      <c r="R7" s="107">
        <f t="shared" si="5"/>
        <v>32.954545454545467</v>
      </c>
    </row>
    <row r="8" spans="1:18" x14ac:dyDescent="0.25">
      <c r="A8" s="106" t="s">
        <v>74</v>
      </c>
      <c r="B8" s="106" t="s">
        <v>75</v>
      </c>
      <c r="C8" s="107"/>
      <c r="D8" s="107"/>
      <c r="E8" s="107"/>
      <c r="F8" s="107"/>
      <c r="G8" s="107"/>
      <c r="H8" s="107"/>
      <c r="I8" s="107"/>
      <c r="J8" s="107"/>
      <c r="K8" s="107">
        <v>72750</v>
      </c>
      <c r="L8" s="107">
        <v>67700</v>
      </c>
      <c r="M8" s="107">
        <v>75000</v>
      </c>
      <c r="N8" s="107">
        <v>67700</v>
      </c>
      <c r="O8" s="107">
        <f t="shared" si="2"/>
        <v>2250</v>
      </c>
      <c r="P8" s="107">
        <f t="shared" si="3"/>
        <v>0</v>
      </c>
      <c r="Q8" s="107">
        <f t="shared" si="4"/>
        <v>3.0927835051546424</v>
      </c>
      <c r="R8" s="107">
        <f t="shared" si="5"/>
        <v>0</v>
      </c>
    </row>
    <row r="9" spans="1:18" x14ac:dyDescent="0.25">
      <c r="A9" s="106" t="s">
        <v>76</v>
      </c>
      <c r="B9" s="106"/>
      <c r="C9" s="107"/>
      <c r="D9" s="107"/>
      <c r="E9" s="107"/>
      <c r="F9" s="107"/>
      <c r="G9" s="107"/>
      <c r="H9" s="107"/>
      <c r="I9" s="107"/>
      <c r="J9" s="107"/>
      <c r="K9" s="107">
        <v>16300</v>
      </c>
      <c r="L9" s="107">
        <v>15000</v>
      </c>
      <c r="M9" s="107">
        <v>16300</v>
      </c>
      <c r="N9" s="107">
        <v>15000</v>
      </c>
      <c r="O9" s="107">
        <f t="shared" si="2"/>
        <v>0</v>
      </c>
      <c r="P9" s="107">
        <f t="shared" si="3"/>
        <v>0</v>
      </c>
      <c r="Q9" s="107">
        <f t="shared" si="4"/>
        <v>0</v>
      </c>
      <c r="R9" s="107">
        <f t="shared" si="5"/>
        <v>0</v>
      </c>
    </row>
    <row r="10" spans="1:18" x14ac:dyDescent="0.25">
      <c r="A10" s="165" t="s">
        <v>77</v>
      </c>
      <c r="B10" s="165"/>
      <c r="C10" s="107">
        <v>185900</v>
      </c>
      <c r="D10" s="107">
        <v>168600</v>
      </c>
      <c r="E10" s="107">
        <f>SUM(E4:E7)</f>
        <v>193800</v>
      </c>
      <c r="F10" s="107">
        <f t="shared" ref="F10" si="6">SUM(F4:F7)</f>
        <v>179550</v>
      </c>
      <c r="G10" s="107">
        <f>SUM(G4:G7)</f>
        <v>231100</v>
      </c>
      <c r="H10" s="107">
        <f>SUM(H4:H7)</f>
        <v>219200</v>
      </c>
      <c r="I10" s="107">
        <f t="shared" ref="I10:J10" si="7">SUM(I4:I7)</f>
        <v>254300</v>
      </c>
      <c r="J10" s="107">
        <f t="shared" si="7"/>
        <v>241120</v>
      </c>
      <c r="K10" s="107">
        <f>SUM(K4:K9)</f>
        <v>396050</v>
      </c>
      <c r="L10" s="107">
        <f>SUM(L4:L8)</f>
        <v>357000</v>
      </c>
      <c r="M10" s="107">
        <f>SUM(M4:M9)</f>
        <v>490600</v>
      </c>
      <c r="N10" s="107">
        <f>SUM(N4:N8)</f>
        <v>437700</v>
      </c>
      <c r="O10" s="107">
        <f t="shared" si="2"/>
        <v>94550</v>
      </c>
      <c r="P10" s="107">
        <f t="shared" si="3"/>
        <v>80700</v>
      </c>
      <c r="Q10" s="107">
        <f t="shared" si="4"/>
        <v>23.873248327231408</v>
      </c>
      <c r="R10" s="107">
        <f t="shared" si="5"/>
        <v>22.605042016806721</v>
      </c>
    </row>
    <row r="11" spans="1:18" x14ac:dyDescent="0.25">
      <c r="A11" s="163" t="s">
        <v>78</v>
      </c>
      <c r="B11" s="163"/>
      <c r="C11" s="108">
        <f>C10*13</f>
        <v>2416700</v>
      </c>
      <c r="D11" s="107"/>
      <c r="E11" s="108">
        <f>E10*13</f>
        <v>2519400</v>
      </c>
      <c r="F11" s="107"/>
      <c r="G11" s="108">
        <f>G10*13</f>
        <v>3004300</v>
      </c>
      <c r="H11" s="107"/>
      <c r="I11" s="108">
        <f>I10*13</f>
        <v>3305900</v>
      </c>
      <c r="J11" s="107"/>
      <c r="K11" s="108">
        <f>K10*13</f>
        <v>5148650</v>
      </c>
      <c r="L11" s="107"/>
      <c r="M11" s="108">
        <f>M10*13</f>
        <v>6377800</v>
      </c>
      <c r="N11" s="107"/>
      <c r="O11" s="107"/>
      <c r="P11" s="107"/>
      <c r="Q11" s="107"/>
      <c r="R11" s="107"/>
    </row>
    <row r="12" spans="1:18" x14ac:dyDescent="0.25">
      <c r="A12" s="106" t="s">
        <v>79</v>
      </c>
      <c r="B12" s="106"/>
      <c r="C12" s="106"/>
      <c r="D12" s="106"/>
      <c r="E12" s="109">
        <v>36737</v>
      </c>
      <c r="F12" s="106"/>
      <c r="G12" s="109">
        <v>38916</v>
      </c>
      <c r="H12" s="106"/>
      <c r="I12" s="109">
        <v>45962</v>
      </c>
      <c r="J12" s="106"/>
      <c r="K12" s="109">
        <v>50555</v>
      </c>
      <c r="L12" s="106"/>
      <c r="M12" s="109">
        <v>61162</v>
      </c>
      <c r="N12" s="106"/>
      <c r="O12" s="106"/>
      <c r="P12" s="106"/>
      <c r="Q12" s="107"/>
      <c r="R12" s="107"/>
    </row>
    <row r="13" spans="1:18" x14ac:dyDescent="0.25">
      <c r="A13" s="110" t="s">
        <v>80</v>
      </c>
      <c r="B13" s="106"/>
      <c r="C13" s="106"/>
      <c r="D13" s="106"/>
      <c r="E13" s="107">
        <f>E11+E12</f>
        <v>2556137</v>
      </c>
      <c r="F13" s="106"/>
      <c r="G13" s="107">
        <f>G11+G12</f>
        <v>3043216</v>
      </c>
      <c r="H13" s="106"/>
      <c r="I13" s="107">
        <f>I11+I12</f>
        <v>3351862</v>
      </c>
      <c r="J13" s="106"/>
      <c r="K13" s="107">
        <f>K11+K12</f>
        <v>5199205</v>
      </c>
      <c r="L13" s="106"/>
      <c r="M13" s="107">
        <f>M11+M12</f>
        <v>6438962</v>
      </c>
      <c r="N13" s="106"/>
      <c r="O13" s="107">
        <f>M13-K13</f>
        <v>1239757</v>
      </c>
      <c r="P13" s="107"/>
      <c r="Q13" s="107">
        <f>(M13*100)/K13-100</f>
        <v>23.845126322197331</v>
      </c>
      <c r="R13" s="107"/>
    </row>
    <row r="16" spans="1:18" x14ac:dyDescent="0.25">
      <c r="C16" s="111"/>
    </row>
    <row r="17" spans="8:13" x14ac:dyDescent="0.25">
      <c r="H17" s="114"/>
      <c r="I17" s="114"/>
      <c r="J17" s="114"/>
      <c r="K17" s="114"/>
      <c r="L17" s="114"/>
      <c r="M17" s="114"/>
    </row>
    <row r="18" spans="8:13" x14ac:dyDescent="0.25">
      <c r="H18" s="114"/>
      <c r="I18" s="114"/>
      <c r="J18" s="114"/>
      <c r="K18" s="114"/>
      <c r="L18" s="114"/>
      <c r="M18" s="114"/>
    </row>
    <row r="19" spans="8:13" x14ac:dyDescent="0.25">
      <c r="H19" s="114"/>
      <c r="I19" s="114"/>
      <c r="J19" s="115"/>
      <c r="K19" s="115"/>
      <c r="L19" s="114"/>
      <c r="M19" s="114"/>
    </row>
    <row r="20" spans="8:13" x14ac:dyDescent="0.25">
      <c r="H20" s="114"/>
      <c r="I20" s="114"/>
      <c r="J20" s="115"/>
      <c r="K20" s="115"/>
      <c r="L20" s="115"/>
      <c r="M20" s="115"/>
    </row>
    <row r="21" spans="8:13" x14ac:dyDescent="0.25">
      <c r="H21" s="114"/>
      <c r="I21" s="114"/>
      <c r="J21" s="115"/>
      <c r="K21" s="115"/>
      <c r="L21" s="114"/>
      <c r="M21" s="114"/>
    </row>
    <row r="22" spans="8:13" x14ac:dyDescent="0.25">
      <c r="H22" s="114"/>
      <c r="I22" s="114"/>
      <c r="J22" s="115"/>
      <c r="K22" s="115"/>
      <c r="L22" s="114"/>
      <c r="M22" s="114"/>
    </row>
    <row r="23" spans="8:13" x14ac:dyDescent="0.25">
      <c r="H23" s="114"/>
      <c r="I23" s="114"/>
      <c r="J23" s="115"/>
      <c r="K23" s="115"/>
      <c r="L23" s="115"/>
      <c r="M23" s="114"/>
    </row>
    <row r="24" spans="8:13" x14ac:dyDescent="0.25">
      <c r="H24" s="114"/>
      <c r="I24" s="114"/>
      <c r="J24" s="115"/>
      <c r="K24" s="115"/>
      <c r="L24" s="114"/>
      <c r="M24" s="114"/>
    </row>
    <row r="25" spans="8:13" x14ac:dyDescent="0.25">
      <c r="H25" s="114"/>
      <c r="I25" s="114"/>
      <c r="J25" s="115"/>
      <c r="K25" s="115"/>
      <c r="L25" s="114"/>
      <c r="M25" s="114"/>
    </row>
    <row r="26" spans="8:13" x14ac:dyDescent="0.25">
      <c r="L26" s="113"/>
    </row>
    <row r="27" spans="8:13" x14ac:dyDescent="0.25">
      <c r="L27" s="113"/>
    </row>
  </sheetData>
  <mergeCells count="2">
    <mergeCell ref="A10:B10"/>
    <mergeCell ref="A11:B11"/>
  </mergeCells>
  <pageMargins left="0.70866141732283472" right="0.70866141732283472" top="0.74803149606299213" bottom="0.74803149606299213" header="0.31496062992125984" footer="0.31496062992125984"/>
  <pageSetup paperSize="9" scale="4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65EDD-3BE1-4994-9387-170A1DA8AE83}">
  <dimension ref="A2:R28"/>
  <sheetViews>
    <sheetView tabSelected="1" topLeftCell="A7" workbookViewId="0">
      <selection activeCell="I20" sqref="I20"/>
    </sheetView>
  </sheetViews>
  <sheetFormatPr defaultRowHeight="15" x14ac:dyDescent="0.25"/>
  <cols>
    <col min="1" max="1" width="34.42578125" style="134" bestFit="1" customWidth="1"/>
    <col min="2" max="3" width="11.28515625" style="134" bestFit="1" customWidth="1"/>
    <col min="4" max="4" width="12" style="134" customWidth="1"/>
    <col min="5" max="5" width="11.28515625" style="134" bestFit="1" customWidth="1"/>
    <col min="6" max="6" width="12" style="134" customWidth="1"/>
    <col min="7" max="7" width="12.5703125" style="134" customWidth="1"/>
    <col min="8" max="9" width="11.5703125" style="134" bestFit="1" customWidth="1"/>
    <col min="10" max="10" width="13.140625" style="134" customWidth="1"/>
    <col min="11" max="11" width="11.28515625" style="134" bestFit="1" customWidth="1"/>
    <col min="12" max="12" width="11.85546875" style="134" bestFit="1" customWidth="1"/>
    <col min="13" max="13" width="12.42578125" style="134" customWidth="1"/>
    <col min="14" max="14" width="11.5703125" style="134" bestFit="1" customWidth="1"/>
    <col min="15" max="16" width="10.7109375" style="134" bestFit="1" customWidth="1"/>
    <col min="17" max="17" width="11.28515625" style="134" bestFit="1" customWidth="1"/>
    <col min="18" max="18" width="10.7109375" style="134" bestFit="1" customWidth="1"/>
    <col min="19" max="19" width="13.7109375" style="134" customWidth="1"/>
    <col min="20" max="20" width="11.28515625" style="134" bestFit="1" customWidth="1"/>
    <col min="21" max="22" width="10.7109375" style="134" bestFit="1" customWidth="1"/>
    <col min="23" max="23" width="11.28515625" style="134" bestFit="1" customWidth="1"/>
    <col min="24" max="16384" width="9.140625" style="134"/>
  </cols>
  <sheetData>
    <row r="2" spans="1:18" ht="15.75" x14ac:dyDescent="0.25">
      <c r="A2" s="131"/>
      <c r="B2" s="133">
        <v>44196</v>
      </c>
      <c r="C2" s="169">
        <v>2021</v>
      </c>
      <c r="D2" s="170"/>
      <c r="E2" s="133">
        <v>44561</v>
      </c>
      <c r="F2" s="167">
        <v>2022</v>
      </c>
      <c r="G2" s="167"/>
      <c r="H2" s="133">
        <v>44926</v>
      </c>
      <c r="I2" s="167">
        <v>2023</v>
      </c>
      <c r="J2" s="167"/>
      <c r="K2" s="133">
        <v>45291</v>
      </c>
      <c r="L2" s="167">
        <v>2024</v>
      </c>
      <c r="M2" s="167"/>
      <c r="N2" s="133">
        <v>45657</v>
      </c>
    </row>
    <row r="3" spans="1:18" ht="63" customHeight="1" x14ac:dyDescent="0.25">
      <c r="A3" s="131"/>
      <c r="B3" s="131"/>
      <c r="C3" s="135" t="s">
        <v>134</v>
      </c>
      <c r="D3" s="136" t="s">
        <v>135</v>
      </c>
      <c r="E3" s="131"/>
      <c r="F3" s="135" t="s">
        <v>134</v>
      </c>
      <c r="G3" s="136" t="s">
        <v>135</v>
      </c>
      <c r="H3" s="131"/>
      <c r="I3" s="135" t="s">
        <v>134</v>
      </c>
      <c r="J3" s="136" t="s">
        <v>135</v>
      </c>
      <c r="K3" s="131"/>
      <c r="L3" s="135" t="s">
        <v>134</v>
      </c>
      <c r="M3" s="136" t="s">
        <v>135</v>
      </c>
      <c r="N3" s="131"/>
    </row>
    <row r="4" spans="1:18" ht="15.75" x14ac:dyDescent="0.25">
      <c r="A4" s="131" t="s">
        <v>136</v>
      </c>
      <c r="B4" s="137"/>
      <c r="C4" s="138">
        <v>7296</v>
      </c>
      <c r="D4" s="146">
        <v>8629.2999999999993</v>
      </c>
      <c r="E4" s="137"/>
      <c r="F4" s="138">
        <v>9600</v>
      </c>
      <c r="G4" s="168">
        <v>9446.1</v>
      </c>
      <c r="H4" s="137"/>
      <c r="I4" s="138">
        <v>9600</v>
      </c>
      <c r="J4" s="168">
        <v>9775.59</v>
      </c>
      <c r="K4" s="137"/>
      <c r="L4" s="138">
        <v>11212.8</v>
      </c>
      <c r="M4" s="168">
        <v>11382.68</v>
      </c>
      <c r="N4" s="137"/>
    </row>
    <row r="5" spans="1:18" ht="15.75" x14ac:dyDescent="0.25">
      <c r="A5" s="131" t="s">
        <v>118</v>
      </c>
      <c r="B5" s="137"/>
      <c r="C5" s="138">
        <v>150</v>
      </c>
      <c r="D5" s="146"/>
      <c r="E5" s="137"/>
      <c r="F5" s="138">
        <v>200</v>
      </c>
      <c r="G5" s="168"/>
      <c r="H5" s="137"/>
      <c r="I5" s="138">
        <v>100</v>
      </c>
      <c r="J5" s="168"/>
      <c r="K5" s="137"/>
      <c r="L5" s="138">
        <v>50</v>
      </c>
      <c r="M5" s="168"/>
      <c r="N5" s="137"/>
    </row>
    <row r="6" spans="1:18" ht="15.75" x14ac:dyDescent="0.25">
      <c r="A6" s="131" t="s">
        <v>151</v>
      </c>
      <c r="B6" s="137"/>
      <c r="C6" s="138"/>
      <c r="D6" s="146"/>
      <c r="E6" s="137"/>
      <c r="F6" s="138"/>
      <c r="G6" s="168"/>
      <c r="H6" s="137"/>
      <c r="I6" s="138"/>
      <c r="J6" s="168"/>
      <c r="K6" s="137"/>
      <c r="L6" s="138">
        <v>1920</v>
      </c>
      <c r="M6" s="168"/>
      <c r="N6" s="137"/>
    </row>
    <row r="7" spans="1:18" ht="15.75" x14ac:dyDescent="0.25">
      <c r="A7" s="131" t="s">
        <v>137</v>
      </c>
      <c r="B7" s="137"/>
      <c r="C7" s="139">
        <v>32.700000000000003</v>
      </c>
      <c r="D7" s="146"/>
      <c r="E7" s="137"/>
      <c r="F7" s="139">
        <v>0</v>
      </c>
      <c r="G7" s="168"/>
      <c r="H7" s="137"/>
      <c r="I7" s="139">
        <v>0</v>
      </c>
      <c r="J7" s="168"/>
      <c r="K7" s="137"/>
      <c r="L7" s="139">
        <v>0</v>
      </c>
      <c r="M7" s="168"/>
      <c r="N7" s="137"/>
    </row>
    <row r="8" spans="1:18" ht="15.75" x14ac:dyDescent="0.25">
      <c r="A8" s="131" t="s">
        <v>138</v>
      </c>
      <c r="B8" s="137"/>
      <c r="C8" s="139">
        <v>0</v>
      </c>
      <c r="D8" s="146"/>
      <c r="E8" s="137"/>
      <c r="F8" s="139">
        <v>105.9</v>
      </c>
      <c r="G8" s="168"/>
      <c r="H8" s="137"/>
      <c r="I8" s="139">
        <v>185.1</v>
      </c>
      <c r="J8" s="168"/>
      <c r="K8" s="137"/>
      <c r="L8" s="139">
        <v>332.93</v>
      </c>
      <c r="M8" s="168"/>
      <c r="N8" s="137"/>
    </row>
    <row r="9" spans="1:18" ht="15.75" x14ac:dyDescent="0.25">
      <c r="A9" s="131" t="s">
        <v>139</v>
      </c>
      <c r="B9" s="137"/>
      <c r="C9" s="137">
        <v>24</v>
      </c>
      <c r="D9" s="146"/>
      <c r="E9" s="137"/>
      <c r="F9" s="137">
        <v>24</v>
      </c>
      <c r="G9" s="168"/>
      <c r="H9" s="137"/>
      <c r="I9" s="137">
        <v>24</v>
      </c>
      <c r="J9" s="168"/>
      <c r="K9" s="137"/>
      <c r="L9" s="137">
        <v>24</v>
      </c>
      <c r="M9" s="168"/>
      <c r="N9" s="137"/>
    </row>
    <row r="10" spans="1:18" ht="15.75" x14ac:dyDescent="0.25">
      <c r="A10" s="131" t="s">
        <v>140</v>
      </c>
      <c r="B10" s="137"/>
      <c r="C10" s="137">
        <v>0</v>
      </c>
      <c r="D10" s="146"/>
      <c r="E10" s="137"/>
      <c r="F10" s="137">
        <v>0</v>
      </c>
      <c r="G10" s="168"/>
      <c r="H10" s="137"/>
      <c r="I10" s="137">
        <v>0</v>
      </c>
      <c r="J10" s="168"/>
      <c r="K10" s="137"/>
      <c r="L10" s="137">
        <v>0</v>
      </c>
      <c r="M10" s="168"/>
      <c r="N10" s="137"/>
    </row>
    <row r="11" spans="1:18" ht="15.75" x14ac:dyDescent="0.25">
      <c r="A11" s="131" t="s">
        <v>141</v>
      </c>
      <c r="B11" s="137"/>
      <c r="C11" s="137">
        <v>0</v>
      </c>
      <c r="D11" s="146"/>
      <c r="E11" s="137"/>
      <c r="F11" s="137">
        <v>0</v>
      </c>
      <c r="G11" s="168"/>
      <c r="H11" s="137"/>
      <c r="I11" s="137">
        <v>0</v>
      </c>
      <c r="J11" s="168"/>
      <c r="K11" s="137"/>
      <c r="L11" s="137">
        <v>0</v>
      </c>
      <c r="M11" s="168"/>
      <c r="N11" s="137"/>
    </row>
    <row r="12" spans="1:18" ht="15.75" x14ac:dyDescent="0.25">
      <c r="A12" s="131"/>
      <c r="B12" s="137"/>
      <c r="C12" s="137"/>
      <c r="D12" s="146"/>
      <c r="E12" s="137"/>
      <c r="F12" s="137">
        <v>0</v>
      </c>
      <c r="G12" s="168"/>
      <c r="H12" s="137"/>
      <c r="I12" s="137">
        <v>0</v>
      </c>
      <c r="J12" s="168"/>
      <c r="K12" s="137"/>
      <c r="L12" s="137">
        <v>0</v>
      </c>
      <c r="M12" s="168"/>
      <c r="N12" s="137"/>
    </row>
    <row r="13" spans="1:18" ht="15.75" x14ac:dyDescent="0.25">
      <c r="A13" s="131" t="s">
        <v>142</v>
      </c>
      <c r="B13" s="137">
        <v>3771.9599999999991</v>
      </c>
      <c r="C13" s="137">
        <f>SUM(C4:C12)</f>
        <v>7502.7</v>
      </c>
      <c r="D13" s="146"/>
      <c r="E13" s="137">
        <f>B13+C13-D4</f>
        <v>2645.3600000000006</v>
      </c>
      <c r="F13" s="137">
        <f>SUM(F4:F12)</f>
        <v>9929.9</v>
      </c>
      <c r="G13" s="168"/>
      <c r="H13" s="137">
        <f>E13+F13-G4</f>
        <v>3129.16</v>
      </c>
      <c r="I13" s="137">
        <f>SUM(I4:I12)</f>
        <v>9909.1</v>
      </c>
      <c r="J13" s="168"/>
      <c r="K13" s="137">
        <f>H13+I13-J4</f>
        <v>3262.67</v>
      </c>
      <c r="L13" s="137">
        <f>SUM(L4:L12)</f>
        <v>13539.73</v>
      </c>
      <c r="M13" s="168"/>
      <c r="N13" s="137">
        <f>K13+L13-M4</f>
        <v>5419.7200000000012</v>
      </c>
      <c r="R13" s="147"/>
    </row>
    <row r="14" spans="1:18" ht="15.75" x14ac:dyDescent="0.25">
      <c r="A14" s="131" t="s">
        <v>143</v>
      </c>
      <c r="B14" s="137">
        <v>409.48999999999887</v>
      </c>
      <c r="C14" s="137"/>
      <c r="D14" s="137"/>
      <c r="E14" s="137">
        <f>E13-B13</f>
        <v>-1126.5999999999985</v>
      </c>
      <c r="F14" s="137"/>
      <c r="G14" s="137"/>
      <c r="H14" s="137">
        <f>H13-E13</f>
        <v>483.79999999999927</v>
      </c>
      <c r="I14" s="137"/>
      <c r="J14" s="137"/>
      <c r="K14" s="137">
        <f>K13-H13</f>
        <v>133.51000000000022</v>
      </c>
      <c r="L14" s="137"/>
      <c r="M14" s="137"/>
      <c r="N14" s="137">
        <f>N13-K13</f>
        <v>2157.0500000000011</v>
      </c>
      <c r="R14" s="147"/>
    </row>
    <row r="18" spans="1:12" ht="31.5" x14ac:dyDescent="0.25">
      <c r="A18" s="140"/>
      <c r="B18" s="133">
        <v>43100</v>
      </c>
      <c r="C18" s="133">
        <v>43465</v>
      </c>
      <c r="D18" s="141">
        <v>43830</v>
      </c>
      <c r="E18" s="141">
        <v>44196</v>
      </c>
      <c r="F18" s="141">
        <v>44561</v>
      </c>
      <c r="G18" s="141">
        <v>44926</v>
      </c>
      <c r="H18" s="141">
        <v>45291</v>
      </c>
      <c r="I18" s="133">
        <v>45657</v>
      </c>
      <c r="J18" s="140" t="s">
        <v>144</v>
      </c>
    </row>
    <row r="19" spans="1:12" ht="31.5" x14ac:dyDescent="0.25">
      <c r="A19" s="140" t="s">
        <v>145</v>
      </c>
      <c r="B19" s="137">
        <v>2932.2</v>
      </c>
      <c r="C19" s="137">
        <v>1726.93</v>
      </c>
      <c r="D19" s="137">
        <v>1406.71</v>
      </c>
      <c r="E19" s="137">
        <v>3360.4</v>
      </c>
      <c r="F19" s="137">
        <v>1643.95</v>
      </c>
      <c r="G19" s="137">
        <v>659.2</v>
      </c>
      <c r="H19" s="137">
        <v>321.27</v>
      </c>
      <c r="I19" s="145">
        <f>3105.6+134.4</f>
        <v>3240</v>
      </c>
      <c r="J19" s="137"/>
      <c r="K19" s="142"/>
    </row>
    <row r="20" spans="1:12" ht="31.5" x14ac:dyDescent="0.25">
      <c r="A20" s="140" t="s">
        <v>146</v>
      </c>
      <c r="B20" s="137">
        <v>2106.6</v>
      </c>
      <c r="C20" s="137">
        <f>2384.18+16.32</f>
        <v>2400.5</v>
      </c>
      <c r="D20" s="137">
        <v>1957.61</v>
      </c>
      <c r="E20" s="137">
        <v>1084.3800000000001</v>
      </c>
      <c r="F20" s="137">
        <v>1286.9100000000001</v>
      </c>
      <c r="G20" s="137">
        <v>812.9</v>
      </c>
      <c r="H20" s="137">
        <v>785.14</v>
      </c>
      <c r="I20" s="145">
        <v>1498.35</v>
      </c>
      <c r="J20" s="137"/>
    </row>
    <row r="21" spans="1:12" ht="31.5" x14ac:dyDescent="0.25">
      <c r="A21" s="140" t="s">
        <v>147</v>
      </c>
      <c r="B21" s="143">
        <v>1414.9</v>
      </c>
      <c r="C21" s="137">
        <v>1776.9</v>
      </c>
      <c r="D21" s="137">
        <v>1001.85</v>
      </c>
      <c r="E21" s="137">
        <v>672.82</v>
      </c>
      <c r="F21" s="137">
        <v>285.5</v>
      </c>
      <c r="G21" s="137">
        <v>-27.16</v>
      </c>
      <c r="H21" s="137">
        <v>52.84</v>
      </c>
      <c r="I21" s="145">
        <f>122.67+52.89</f>
        <v>175.56</v>
      </c>
      <c r="J21" s="137"/>
    </row>
    <row r="22" spans="1:12" ht="31.5" x14ac:dyDescent="0.25">
      <c r="A22" s="140" t="s">
        <v>148</v>
      </c>
      <c r="B22" s="137"/>
      <c r="C22" s="137">
        <v>1000</v>
      </c>
      <c r="D22" s="137">
        <v>1000</v>
      </c>
      <c r="E22" s="137"/>
      <c r="F22" s="137"/>
      <c r="G22" s="137">
        <v>1500</v>
      </c>
      <c r="H22" s="137">
        <v>2000</v>
      </c>
      <c r="I22" s="145">
        <v>500</v>
      </c>
      <c r="J22" s="137"/>
    </row>
    <row r="23" spans="1:12" ht="31.5" x14ac:dyDescent="0.25">
      <c r="A23" s="140" t="s">
        <v>149</v>
      </c>
      <c r="B23" s="137"/>
      <c r="C23" s="137"/>
      <c r="D23" s="137"/>
      <c r="E23" s="137"/>
      <c r="F23" s="137"/>
      <c r="G23" s="137">
        <v>129.9</v>
      </c>
      <c r="H23" s="137">
        <v>209.1</v>
      </c>
      <c r="I23" s="145">
        <v>356.93</v>
      </c>
      <c r="J23" s="137"/>
    </row>
    <row r="24" spans="1:12" ht="15.75" x14ac:dyDescent="0.25">
      <c r="A24" s="140" t="s">
        <v>150</v>
      </c>
      <c r="B24" s="137">
        <f>B19+B20-B21</f>
        <v>3623.8999999999992</v>
      </c>
      <c r="C24" s="137">
        <f>C19+C20+C22-C21</f>
        <v>3350.53</v>
      </c>
      <c r="D24" s="137">
        <f>D19+D20+D22-D21</f>
        <v>3362.47</v>
      </c>
      <c r="E24" s="137">
        <f>E19+E20+E22-E21</f>
        <v>3771.9600000000005</v>
      </c>
      <c r="F24" s="137">
        <f>F19+F20+F22-F21</f>
        <v>2645.36</v>
      </c>
      <c r="G24" s="137">
        <f>G19+G20+G22-G21+G23</f>
        <v>3129.16</v>
      </c>
      <c r="H24" s="137">
        <f>H19+H20+H22-H21+H23</f>
        <v>3262.6699999999996</v>
      </c>
      <c r="I24" s="137">
        <f>I19+I20+I22-I21+I23</f>
        <v>5419.72</v>
      </c>
      <c r="J24" s="143">
        <f>I24-H24</f>
        <v>2157.0500000000006</v>
      </c>
      <c r="L24" s="147"/>
    </row>
    <row r="27" spans="1:12" x14ac:dyDescent="0.25">
      <c r="A27" s="144"/>
    </row>
    <row r="28" spans="1:12" ht="23.25" x14ac:dyDescent="0.35">
      <c r="A28" s="166"/>
      <c r="B28" s="166"/>
      <c r="C28" s="166"/>
      <c r="D28" s="166"/>
      <c r="E28" s="166"/>
      <c r="F28" s="166"/>
      <c r="G28" s="166"/>
    </row>
  </sheetData>
  <mergeCells count="8">
    <mergeCell ref="A28:G28"/>
    <mergeCell ref="L2:M2"/>
    <mergeCell ref="M4:M13"/>
    <mergeCell ref="G4:G13"/>
    <mergeCell ref="J4:J13"/>
    <mergeCell ref="C2:D2"/>
    <mergeCell ref="F2:G2"/>
    <mergeCell ref="I2:J2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план 2025</vt:lpstr>
      <vt:lpstr>расшифровка ст.1</vt:lpstr>
      <vt:lpstr>расшифровка ст.2</vt:lpstr>
      <vt:lpstr>бюджет доходов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2025-02-14T06:45:13Z</dcterms:modified>
</cp:coreProperties>
</file>